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MČ 1-57" sheetId="1" r:id="rId1"/>
    <sheet name="List5" sheetId="2" r:id="rId2"/>
    <sheet name="List6" sheetId="3" r:id="rId3"/>
    <sheet name="List7" sheetId="4" r:id="rId4"/>
    <sheet name="List8" sheetId="5" r:id="rId5"/>
    <sheet name="List9" sheetId="6" r:id="rId6"/>
    <sheet name="List10" sheetId="7" r:id="rId7"/>
  </sheets>
  <definedNames>
    <definedName name="_xlnm.Print_Titles" localSheetId="0">'MČ 1-57'!$A:$B</definedName>
  </definedNames>
  <calcPr fullCalcOnLoad="1"/>
</workbook>
</file>

<file path=xl/sharedStrings.xml><?xml version="1.0" encoding="utf-8"?>
<sst xmlns="http://schemas.openxmlformats.org/spreadsheetml/2006/main" count="108" uniqueCount="104">
  <si>
    <t>Poř.</t>
  </si>
  <si>
    <t>Název finanční operace</t>
  </si>
  <si>
    <t>č.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</si>
  <si>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</si>
  <si>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</si>
  <si>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</si>
  <si>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</si>
  <si>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</si>
  <si>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</si>
  <si>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</si>
  <si>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</si>
  <si>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</si>
  <si>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</si>
  <si>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</si>
  <si>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</si>
  <si>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</si>
  <si>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</si>
  <si>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</si>
  <si>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</si>
  <si>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</si>
  <si>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</si>
  <si>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</si>
  <si>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</si>
  <si>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</si>
  <si>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</si>
  <si>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</si>
  <si>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</si>
  <si>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</si>
  <si>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</si>
  <si>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</si>
  <si>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 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</si>
  <si>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</si>
  <si>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</si>
  <si>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</si>
  <si>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</si>
  <si>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</si>
  <si>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</si>
  <si>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</si>
  <si>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</si>
  <si>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</si>
  <si>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</si>
  <si>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</si>
  <si>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</si>
  <si>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</si>
  <si>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</si>
  <si>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</si>
  <si>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</si>
  <si>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</si>
  <si>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</si>
  <si>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</si>
  <si>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</si>
  <si>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</si>
  <si>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</si>
  <si>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</si>
  <si>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</si>
  <si>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</si>
  <si>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 Chuchle</t>
  </si>
  <si>
    <t>Vinoř</t>
  </si>
  <si>
    <t>Zbraslav</t>
  </si>
  <si>
    <t>Zličín</t>
  </si>
  <si>
    <t>A: ZDROJE z finančního vypořádání</t>
  </si>
  <si>
    <t>3.</t>
  </si>
  <si>
    <t>4.</t>
  </si>
  <si>
    <t>Dorovnání z rozpočtu HMP celkem</t>
  </si>
  <si>
    <t>5.</t>
  </si>
  <si>
    <t>Úhrn zdrojů fin. vypořádání   (ř.3 a ř.4)</t>
  </si>
  <si>
    <t>B: POTŘEBY finančního vypořádání</t>
  </si>
  <si>
    <t>6.</t>
  </si>
  <si>
    <t>Odvody do SR  c e l k e m</t>
  </si>
  <si>
    <t>7.</t>
  </si>
  <si>
    <t>8.</t>
  </si>
  <si>
    <t>Úhrn potřeb (ř.6 a ř.7)</t>
  </si>
  <si>
    <t>9.</t>
  </si>
  <si>
    <t>Saldo FV (ř.5 - ř.8)</t>
  </si>
  <si>
    <t xml:space="preserve">         PŘEHLED FINANČNÍHO VYPOŘÁDÁNÍ            </t>
  </si>
  <si>
    <t>MČ celkem</t>
  </si>
  <si>
    <t>v Kč</t>
  </si>
  <si>
    <t>zkoušky zvláštní odborné způsobilosti</t>
  </si>
  <si>
    <t>doplatky místních poplatků</t>
  </si>
  <si>
    <t>vratky ostat.účel.prostř. MF ČR-kap.VPS</t>
  </si>
  <si>
    <t>vratky účel prostř.ost.rezotr.min./st.fondům</t>
  </si>
  <si>
    <t>Dorovnání dotací ze SR  c e l k e m</t>
  </si>
  <si>
    <t xml:space="preserve">vratka nedočerp.dotace poskytnuté městskou částí hl.m. Praze (pol. 4129,4229)                                                                                                                                                    </t>
  </si>
  <si>
    <t>Odvody do rozpočtu HMP   c e l k e m</t>
  </si>
  <si>
    <t>Celkem odvod na MF</t>
  </si>
  <si>
    <t>Odvod rezorty a st. fondy</t>
  </si>
  <si>
    <t xml:space="preserve">z toho: </t>
  </si>
  <si>
    <t xml:space="preserve"> provozování sběrného dvora (pol.4121)</t>
  </si>
  <si>
    <t>Saldo státních prostředků (ř.3 - ř.6)</t>
  </si>
  <si>
    <t>Saldo prostředků MHMP (ř. 4 - ř.7)</t>
  </si>
  <si>
    <t xml:space="preserve">            přeplatky místních poplatků</t>
  </si>
  <si>
    <t>podíl na odvodu z loterií, doplatek za 3.Q 2013</t>
  </si>
  <si>
    <t>sociálně-právní ochrana dětí  ÚZ 13011</t>
  </si>
  <si>
    <t>ZA ROK 2014 S MČ HL. M. PRAHY</t>
  </si>
  <si>
    <t xml:space="preserve"> volby do EP   ÚZ 98348</t>
  </si>
  <si>
    <t xml:space="preserve"> volby do Senátu a zast. obcí  ÚZ 98187</t>
  </si>
  <si>
    <t>doplňovací volby do Senátu PČR ÚZ 98071</t>
  </si>
  <si>
    <t xml:space="preserve"> volby do Senátu PČR a zastup.obcí ÚZ 98187</t>
  </si>
  <si>
    <t xml:space="preserve"> doplňovací volby do Senátu PČR  ÚZ 98071</t>
  </si>
  <si>
    <t xml:space="preserve">         vratky účel. prostř. r. 2014</t>
  </si>
  <si>
    <t>vratky účel.prostř. r. 2013, u nichž je vyúčtování stanoveno na r. 2014</t>
  </si>
  <si>
    <r>
      <t xml:space="preserve">vratky účel. prostř.r.2013 </t>
    </r>
    <r>
      <rPr>
        <sz val="8"/>
        <rFont val="Arial CE"/>
        <family val="0"/>
      </rPr>
      <t>(popř.2012,2011,2010)</t>
    </r>
  </si>
  <si>
    <t>doplatek DVz na rok 2014</t>
  </si>
  <si>
    <t>Příloha č. 8 k usnesení Zastupitelstva HMP č.    ze dne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</si>
</sst>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2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6" xfId="0" applyFont="1" applyBorder="1" applyAlignment="1">
      <alignment horizontal="left"/>
    </xf>
    <xf numFmtId="4" fontId="1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0" fontId="1" fillId="0" borderId="20" xfId="0" applyFont="1" applyBorder="1" applyAlignment="1">
      <alignment horizontal="left"/>
    </xf>
    <xf numFmtId="4" fontId="1" fillId="0" borderId="21" xfId="0" applyNumberFormat="1" applyFont="1" applyBorder="1" applyAlignment="1">
      <alignment/>
    </xf>
    <xf numFmtId="0" fontId="0" fillId="0" borderId="20" xfId="0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0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0" xfId="0" applyBorder="1" applyAlignment="1">
      <alignment wrapText="1"/>
    </xf>
    <xf numFmtId="4" fontId="0" fillId="0" borderId="21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0" fontId="0" fillId="0" borderId="0" xfId="0" applyAlignment="1">
      <alignment wrapText="1"/>
    </xf>
    <xf numFmtId="49" fontId="3" fillId="0" borderId="16" xfId="0" applyNumberFormat="1" applyFont="1" applyBorder="1" applyAlignment="1">
      <alignment horizontal="left" wrapText="1" indent="3"/>
    </xf>
    <xf numFmtId="49" fontId="3" fillId="0" borderId="16" xfId="0" applyNumberFormat="1" applyFont="1" applyBorder="1" applyAlignment="1">
      <alignment horizontal="left" indent="3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 indent="3"/>
    </xf>
    <xf numFmtId="49" fontId="1" fillId="0" borderId="1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indent="3"/>
    </xf>
    <xf numFmtId="49" fontId="3" fillId="0" borderId="16" xfId="0" applyNumberFormat="1" applyFont="1" applyBorder="1" applyAlignment="1">
      <alignment horizontal="left" wrapText="1" indent="3"/>
    </xf>
    <xf numFmtId="49" fontId="3" fillId="0" borderId="16" xfId="0" applyNumberFormat="1" applyFont="1" applyFill="1" applyBorder="1" applyAlignment="1">
      <alignment horizontal="left" wrapText="1" indent="3"/>
    </xf>
    <xf numFmtId="49" fontId="0" fillId="0" borderId="16" xfId="0" applyNumberForma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horizontal="left" indent="3"/>
    </xf>
    <xf numFmtId="49" fontId="3" fillId="0" borderId="14" xfId="0" applyNumberFormat="1" applyFont="1" applyFill="1" applyBorder="1" applyAlignment="1">
      <alignment horizontal="left" indent="3"/>
    </xf>
    <xf numFmtId="49" fontId="3" fillId="0" borderId="14" xfId="0" applyNumberFormat="1" applyFont="1" applyBorder="1" applyAlignment="1">
      <alignment horizontal="left" indent="3"/>
    </xf>
    <xf numFmtId="49" fontId="0" fillId="0" borderId="14" xfId="0" applyNumberFormat="1" applyFont="1" applyBorder="1" applyAlignment="1">
      <alignment/>
    </xf>
    <xf numFmtId="49" fontId="0" fillId="0" borderId="14" xfId="0" applyNumberFormat="1" applyBorder="1" applyAlignment="1">
      <alignment horizontal="left" indent="3"/>
    </xf>
    <xf numFmtId="49" fontId="0" fillId="0" borderId="14" xfId="0" applyNumberFormat="1" applyBorder="1" applyAlignment="1">
      <alignment horizontal="left" wrapText="1" indent="3"/>
    </xf>
    <xf numFmtId="49" fontId="2" fillId="0" borderId="22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2"/>
  <sheetViews>
    <sheetView tabSelected="1" zoomScalePageLayoutView="0" workbookViewId="0" topLeftCell="A1">
      <pane xSplit="3" topLeftCell="G1" activePane="topRight" state="frozen"/>
      <selection pane="topLeft" activeCell="A1" sqref="A1"/>
      <selection pane="topRight" activeCell="H5" sqref="H5"/>
    </sheetView>
  </sheetViews>
  <sheetFormatPr defaultColWidth="9.00390625" defaultRowHeight="12.75"/>
  <cols>
    <col min="1" max="1" width="4.00390625" style="0" customWidth="1"/>
    <col min="2" max="2" width="42.875" style="96" customWidth="1"/>
    <col min="3" max="3" width="15.00390625" style="3" bestFit="1" customWidth="1"/>
    <col min="4" max="4" width="13.75390625" style="3" customWidth="1"/>
    <col min="5" max="5" width="14.00390625" style="3" bestFit="1" customWidth="1"/>
    <col min="6" max="6" width="12.25390625" style="3" customWidth="1"/>
    <col min="7" max="7" width="13.75390625" style="3" customWidth="1"/>
    <col min="8" max="8" width="14.00390625" style="3" customWidth="1"/>
    <col min="9" max="9" width="13.625" style="3" customWidth="1"/>
    <col min="10" max="10" width="13.375" style="3" bestFit="1" customWidth="1"/>
    <col min="11" max="12" width="14.00390625" style="3" customWidth="1"/>
    <col min="13" max="14" width="13.375" style="3" customWidth="1"/>
    <col min="15" max="15" width="13.75390625" style="3" customWidth="1"/>
    <col min="16" max="16" width="14.00390625" style="3" customWidth="1"/>
    <col min="17" max="17" width="14.00390625" style="3" bestFit="1" customWidth="1"/>
    <col min="18" max="18" width="12.875" style="3" customWidth="1"/>
    <col min="19" max="19" width="12.375" style="3" customWidth="1"/>
    <col min="20" max="20" width="11.00390625" style="3" customWidth="1"/>
    <col min="21" max="21" width="11.625" style="3" customWidth="1"/>
    <col min="22" max="22" width="13.25390625" style="3" customWidth="1"/>
    <col min="23" max="23" width="13.75390625" style="3" customWidth="1"/>
    <col min="24" max="24" width="14.00390625" style="3" bestFit="1" customWidth="1"/>
    <col min="25" max="25" width="13.25390625" style="3" customWidth="1"/>
    <col min="26" max="26" width="12.75390625" style="3" customWidth="1"/>
    <col min="27" max="27" width="10.25390625" style="3" bestFit="1" customWidth="1"/>
    <col min="28" max="28" width="13.625" style="3" customWidth="1"/>
    <col min="29" max="29" width="12.875" style="3" bestFit="1" customWidth="1"/>
    <col min="30" max="30" width="13.125" style="3" customWidth="1"/>
    <col min="31" max="31" width="12.375" style="3" customWidth="1"/>
    <col min="32" max="32" width="13.00390625" style="3" customWidth="1"/>
    <col min="33" max="33" width="11.625" style="3" customWidth="1"/>
    <col min="34" max="34" width="11.25390625" style="3" customWidth="1"/>
    <col min="35" max="35" width="12.25390625" style="3" customWidth="1"/>
    <col min="36" max="36" width="13.00390625" style="3" customWidth="1"/>
    <col min="37" max="37" width="10.25390625" style="3" bestFit="1" customWidth="1"/>
    <col min="38" max="38" width="11.375" style="3" customWidth="1"/>
    <col min="39" max="40" width="12.625" style="3" customWidth="1"/>
    <col min="41" max="42" width="12.75390625" style="3" customWidth="1"/>
    <col min="43" max="43" width="10.875" style="3" customWidth="1"/>
    <col min="44" max="44" width="12.625" style="3" customWidth="1"/>
    <col min="45" max="45" width="13.75390625" style="3" customWidth="1"/>
    <col min="46" max="46" width="11.125" style="3" customWidth="1"/>
    <col min="47" max="47" width="12.375" style="3" customWidth="1"/>
    <col min="48" max="48" width="11.125" style="3" bestFit="1" customWidth="1"/>
    <col min="49" max="49" width="12.875" style="4" customWidth="1"/>
    <col min="50" max="50" width="12.00390625" style="3" customWidth="1"/>
    <col min="51" max="51" width="10.00390625" style="3" customWidth="1"/>
    <col min="52" max="52" width="12.625" style="3" customWidth="1"/>
    <col min="53" max="53" width="12.75390625" style="3" customWidth="1"/>
    <col min="54" max="54" width="11.00390625" style="3" customWidth="1"/>
    <col min="55" max="55" width="12.875" style="3" customWidth="1"/>
    <col min="56" max="56" width="13.75390625" style="3" customWidth="1"/>
    <col min="57" max="57" width="12.625" style="3" customWidth="1"/>
    <col min="58" max="58" width="12.875" style="3" customWidth="1"/>
    <col min="59" max="59" width="12.875" style="3" bestFit="1" customWidth="1"/>
    <col min="60" max="60" width="10.75390625" style="3" bestFit="1" customWidth="1"/>
    <col min="61" max="61" width="10.75390625" style="0" customWidth="1"/>
    <col min="62" max="62" width="11.75390625" style="0" bestFit="1" customWidth="1"/>
    <col min="63" max="63" width="15.375" style="0" customWidth="1"/>
    <col min="64" max="65" width="10.75390625" style="0" customWidth="1"/>
  </cols>
  <sheetData>
    <row r="1" spans="1:2" ht="12.75">
      <c r="A1" s="58" t="s">
        <v>103</v>
      </c>
      <c r="B1" s="66"/>
    </row>
    <row r="3" spans="2:60" ht="12.75">
      <c r="B3" s="67" t="s">
        <v>74</v>
      </c>
      <c r="C3" s="1"/>
      <c r="D3" s="2"/>
      <c r="H3" s="2"/>
      <c r="L3" s="2"/>
      <c r="P3" s="2"/>
      <c r="T3" s="2"/>
      <c r="X3" s="2"/>
      <c r="AB3" s="2"/>
      <c r="AF3" s="2"/>
      <c r="AJ3" s="2"/>
      <c r="AN3" s="2"/>
      <c r="AR3" s="2"/>
      <c r="AV3" s="2"/>
      <c r="AZ3" s="2"/>
      <c r="BD3" s="2"/>
      <c r="BH3" s="2"/>
    </row>
    <row r="4" spans="2:60" ht="12.75">
      <c r="B4" s="68" t="s">
        <v>93</v>
      </c>
      <c r="C4" s="1"/>
      <c r="D4" s="2"/>
      <c r="H4" s="2"/>
      <c r="L4" s="2"/>
      <c r="P4" s="2"/>
      <c r="T4" s="2"/>
      <c r="X4" s="2"/>
      <c r="AB4" s="2"/>
      <c r="AF4" s="2"/>
      <c r="AJ4" s="2"/>
      <c r="AN4" s="2"/>
      <c r="AR4" s="2"/>
      <c r="AV4" s="2"/>
      <c r="AZ4" s="2"/>
      <c r="BD4" s="2"/>
      <c r="BH4" s="2"/>
    </row>
    <row r="5" spans="2:60" ht="12.75">
      <c r="B5" s="68"/>
      <c r="C5" s="1"/>
      <c r="D5" s="2"/>
      <c r="H5" s="2"/>
      <c r="L5" s="2"/>
      <c r="P5" s="2"/>
      <c r="T5" s="2"/>
      <c r="X5" s="2"/>
      <c r="AB5" s="2"/>
      <c r="AF5" s="2"/>
      <c r="AJ5" s="2"/>
      <c r="AN5" s="2"/>
      <c r="AR5" s="2"/>
      <c r="AV5" s="2"/>
      <c r="AZ5" s="2"/>
      <c r="BD5" s="2"/>
      <c r="BH5" s="2"/>
    </row>
    <row r="6" spans="2:60" ht="12.75">
      <c r="B6" s="68"/>
      <c r="C6" s="1"/>
      <c r="D6" s="2"/>
      <c r="H6" s="2"/>
      <c r="L6" s="2"/>
      <c r="P6" s="2"/>
      <c r="T6" s="2"/>
      <c r="X6" s="2"/>
      <c r="AB6" s="2"/>
      <c r="AF6" s="2"/>
      <c r="AJ6" s="2"/>
      <c r="AN6" s="2"/>
      <c r="AR6" s="2"/>
      <c r="AV6" s="2"/>
      <c r="AZ6" s="2"/>
      <c r="BD6" s="2"/>
      <c r="BH6" s="2"/>
    </row>
    <row r="7" spans="2:60" ht="13.5" thickBot="1">
      <c r="B7" s="69"/>
      <c r="C7" s="1"/>
      <c r="D7" s="2"/>
      <c r="H7" s="2"/>
      <c r="L7" s="2"/>
      <c r="P7" s="2"/>
      <c r="T7" s="2"/>
      <c r="X7" s="2"/>
      <c r="AB7" s="2"/>
      <c r="AF7" s="2"/>
      <c r="AJ7" s="2"/>
      <c r="AN7" s="2"/>
      <c r="AR7" s="2"/>
      <c r="AV7" s="2"/>
      <c r="AZ7" s="2"/>
      <c r="BD7" s="2"/>
      <c r="BH7" s="2"/>
    </row>
    <row r="8" spans="1:70" ht="12.75">
      <c r="A8" s="5" t="s">
        <v>0</v>
      </c>
      <c r="B8" s="70" t="s">
        <v>1</v>
      </c>
      <c r="C8" s="6" t="s">
        <v>75</v>
      </c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>
        <v>31</v>
      </c>
      <c r="AI8" s="6">
        <v>32</v>
      </c>
      <c r="AJ8" s="6">
        <v>33</v>
      </c>
      <c r="AK8" s="6">
        <v>34</v>
      </c>
      <c r="AL8" s="6">
        <v>35</v>
      </c>
      <c r="AM8" s="6">
        <v>36</v>
      </c>
      <c r="AN8" s="6">
        <v>37</v>
      </c>
      <c r="AO8" s="6">
        <v>38</v>
      </c>
      <c r="AP8" s="6">
        <v>39</v>
      </c>
      <c r="AQ8" s="6">
        <v>40</v>
      </c>
      <c r="AR8" s="6">
        <v>41</v>
      </c>
      <c r="AS8" s="6">
        <v>42</v>
      </c>
      <c r="AT8" s="6">
        <v>43</v>
      </c>
      <c r="AU8" s="6">
        <v>44</v>
      </c>
      <c r="AV8" s="6">
        <v>45</v>
      </c>
      <c r="AW8" s="7">
        <v>46</v>
      </c>
      <c r="AX8" s="6">
        <v>47</v>
      </c>
      <c r="AY8" s="6">
        <v>48</v>
      </c>
      <c r="AZ8" s="6">
        <v>49</v>
      </c>
      <c r="BA8" s="6">
        <v>50</v>
      </c>
      <c r="BB8" s="6">
        <v>51</v>
      </c>
      <c r="BC8" s="6">
        <v>52</v>
      </c>
      <c r="BD8" s="6">
        <v>53</v>
      </c>
      <c r="BE8" s="6">
        <v>54</v>
      </c>
      <c r="BF8" s="6">
        <v>55</v>
      </c>
      <c r="BG8" s="6">
        <v>56</v>
      </c>
      <c r="BH8" s="6">
        <v>57</v>
      </c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0" ht="13.5" thickBot="1">
      <c r="A9" s="9" t="s">
        <v>2</v>
      </c>
      <c r="B9" s="71"/>
      <c r="C9" s="10" t="s">
        <v>76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9</v>
      </c>
      <c r="K9" s="10" t="s">
        <v>10</v>
      </c>
      <c r="L9" s="10" t="s">
        <v>11</v>
      </c>
      <c r="M9" s="10" t="s">
        <v>12</v>
      </c>
      <c r="N9" s="10" t="s">
        <v>13</v>
      </c>
      <c r="O9" s="10" t="s">
        <v>14</v>
      </c>
      <c r="P9" s="10" t="s">
        <v>15</v>
      </c>
      <c r="Q9" s="10" t="s">
        <v>16</v>
      </c>
      <c r="R9" s="10" t="s">
        <v>17</v>
      </c>
      <c r="S9" s="10" t="s">
        <v>18</v>
      </c>
      <c r="T9" s="10" t="s">
        <v>19</v>
      </c>
      <c r="U9" s="10" t="s">
        <v>20</v>
      </c>
      <c r="V9" s="10" t="s">
        <v>21</v>
      </c>
      <c r="W9" s="10" t="s">
        <v>22</v>
      </c>
      <c r="X9" s="10" t="s">
        <v>23</v>
      </c>
      <c r="Y9" s="10" t="s">
        <v>24</v>
      </c>
      <c r="Z9" s="10" t="s">
        <v>25</v>
      </c>
      <c r="AA9" s="10" t="s">
        <v>26</v>
      </c>
      <c r="AB9" s="10" t="s">
        <v>27</v>
      </c>
      <c r="AC9" s="10" t="s">
        <v>28</v>
      </c>
      <c r="AD9" s="10" t="s">
        <v>29</v>
      </c>
      <c r="AE9" s="10" t="s">
        <v>30</v>
      </c>
      <c r="AF9" s="10" t="s">
        <v>31</v>
      </c>
      <c r="AG9" s="10" t="s">
        <v>32</v>
      </c>
      <c r="AH9" s="10" t="s">
        <v>33</v>
      </c>
      <c r="AI9" s="10" t="s">
        <v>34</v>
      </c>
      <c r="AJ9" s="10" t="s">
        <v>35</v>
      </c>
      <c r="AK9" s="10" t="s">
        <v>36</v>
      </c>
      <c r="AL9" s="10" t="s">
        <v>37</v>
      </c>
      <c r="AM9" s="10" t="s">
        <v>38</v>
      </c>
      <c r="AN9" s="10" t="s">
        <v>39</v>
      </c>
      <c r="AO9" s="10" t="s">
        <v>40</v>
      </c>
      <c r="AP9" s="10" t="s">
        <v>41</v>
      </c>
      <c r="AQ9" s="10" t="s">
        <v>42</v>
      </c>
      <c r="AR9" s="10" t="s">
        <v>43</v>
      </c>
      <c r="AS9" s="10" t="s">
        <v>44</v>
      </c>
      <c r="AT9" s="10" t="s">
        <v>45</v>
      </c>
      <c r="AU9" s="10" t="s">
        <v>46</v>
      </c>
      <c r="AV9" s="10" t="s">
        <v>47</v>
      </c>
      <c r="AW9" s="11" t="s">
        <v>48</v>
      </c>
      <c r="AX9" s="10" t="s">
        <v>49</v>
      </c>
      <c r="AY9" s="10" t="s">
        <v>50</v>
      </c>
      <c r="AZ9" s="10" t="s">
        <v>51</v>
      </c>
      <c r="BA9" s="10" t="s">
        <v>52</v>
      </c>
      <c r="BB9" s="10" t="s">
        <v>53</v>
      </c>
      <c r="BC9" s="10" t="s">
        <v>54</v>
      </c>
      <c r="BD9" s="10" t="s">
        <v>55</v>
      </c>
      <c r="BE9" s="10" t="s">
        <v>56</v>
      </c>
      <c r="BF9" s="10" t="s">
        <v>57</v>
      </c>
      <c r="BG9" s="10" t="s">
        <v>58</v>
      </c>
      <c r="BH9" s="10" t="s">
        <v>59</v>
      </c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1:60" ht="13.5" thickTop="1">
      <c r="A10" s="12"/>
      <c r="B10" s="7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ht="12.75">
      <c r="A11" s="20"/>
      <c r="B11" s="73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</row>
    <row r="12" spans="1:60" ht="12.75">
      <c r="A12" s="20"/>
      <c r="B12" s="74" t="s">
        <v>60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1:60" ht="12.75">
      <c r="A13" s="15"/>
      <c r="B13" s="7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</row>
    <row r="14" spans="1:67" s="25" customFormat="1" ht="12.75">
      <c r="A14" s="23" t="s">
        <v>61</v>
      </c>
      <c r="B14" s="74" t="s">
        <v>81</v>
      </c>
      <c r="C14" s="16">
        <f>SUM(D14:BH14)</f>
        <v>13634848.7</v>
      </c>
      <c r="D14" s="24">
        <f aca="true" t="shared" si="0" ref="D14:AI14">SUM(D15:D18)</f>
        <v>0</v>
      </c>
      <c r="E14" s="24">
        <f t="shared" si="0"/>
        <v>0</v>
      </c>
      <c r="F14" s="24">
        <f t="shared" si="0"/>
        <v>2891570.6</v>
      </c>
      <c r="G14" s="24">
        <f t="shared" si="0"/>
        <v>1398062.74</v>
      </c>
      <c r="H14" s="24">
        <f t="shared" si="0"/>
        <v>1401046.18</v>
      </c>
      <c r="I14" s="24">
        <f t="shared" si="0"/>
        <v>0</v>
      </c>
      <c r="J14" s="24">
        <f t="shared" si="0"/>
        <v>766766.86</v>
      </c>
      <c r="K14" s="24">
        <f t="shared" si="0"/>
        <v>167704.82</v>
      </c>
      <c r="L14" s="24">
        <f t="shared" si="0"/>
        <v>2063117.11</v>
      </c>
      <c r="M14" s="24">
        <f t="shared" si="0"/>
        <v>2055288.6700000002</v>
      </c>
      <c r="N14" s="24">
        <f t="shared" si="0"/>
        <v>139573.36</v>
      </c>
      <c r="O14" s="24">
        <f t="shared" si="0"/>
        <v>119706.84</v>
      </c>
      <c r="P14" s="24">
        <f t="shared" si="0"/>
        <v>0</v>
      </c>
      <c r="Q14" s="24">
        <f t="shared" si="0"/>
        <v>1230732.33</v>
      </c>
      <c r="R14" s="24">
        <f t="shared" si="0"/>
        <v>471377.24</v>
      </c>
      <c r="S14" s="24">
        <f t="shared" si="0"/>
        <v>53571.52</v>
      </c>
      <c r="T14" s="24">
        <f t="shared" si="0"/>
        <v>49185.28</v>
      </c>
      <c r="U14" s="24">
        <f t="shared" si="0"/>
        <v>100628</v>
      </c>
      <c r="V14" s="24">
        <f t="shared" si="0"/>
        <v>224556.5</v>
      </c>
      <c r="W14" s="24">
        <f t="shared" si="0"/>
        <v>82652.41</v>
      </c>
      <c r="X14" s="24">
        <f t="shared" si="0"/>
        <v>0</v>
      </c>
      <c r="Y14" s="24">
        <f t="shared" si="0"/>
        <v>0</v>
      </c>
      <c r="Z14" s="24">
        <f t="shared" si="0"/>
        <v>1263.3</v>
      </c>
      <c r="AA14" s="24">
        <f t="shared" si="0"/>
        <v>0</v>
      </c>
      <c r="AB14" s="24">
        <f t="shared" si="0"/>
        <v>0</v>
      </c>
      <c r="AC14" s="24">
        <f t="shared" si="0"/>
        <v>0</v>
      </c>
      <c r="AD14" s="24">
        <f t="shared" si="0"/>
        <v>3545.27</v>
      </c>
      <c r="AE14" s="24">
        <f t="shared" si="0"/>
        <v>0</v>
      </c>
      <c r="AF14" s="24">
        <f t="shared" si="0"/>
        <v>5754</v>
      </c>
      <c r="AG14" s="24">
        <f t="shared" si="0"/>
        <v>0</v>
      </c>
      <c r="AH14" s="24">
        <f t="shared" si="0"/>
        <v>71746</v>
      </c>
      <c r="AI14" s="24">
        <f t="shared" si="0"/>
        <v>0</v>
      </c>
      <c r="AJ14" s="24">
        <f aca="true" t="shared" si="1" ref="AJ14:BH14">SUM(AJ15:AJ18)</f>
        <v>11422</v>
      </c>
      <c r="AK14" s="24">
        <f t="shared" si="1"/>
        <v>5257</v>
      </c>
      <c r="AL14" s="24">
        <f t="shared" si="1"/>
        <v>0</v>
      </c>
      <c r="AM14" s="24">
        <f t="shared" si="1"/>
        <v>0</v>
      </c>
      <c r="AN14" s="24">
        <f t="shared" si="1"/>
        <v>0</v>
      </c>
      <c r="AO14" s="24">
        <f t="shared" si="1"/>
        <v>16106.189999999999</v>
      </c>
      <c r="AP14" s="24">
        <f t="shared" si="1"/>
        <v>7866</v>
      </c>
      <c r="AQ14" s="24">
        <f t="shared" si="1"/>
        <v>0</v>
      </c>
      <c r="AR14" s="24">
        <f t="shared" si="1"/>
        <v>0</v>
      </c>
      <c r="AS14" s="24">
        <f t="shared" si="1"/>
        <v>0</v>
      </c>
      <c r="AT14" s="24">
        <f t="shared" si="1"/>
        <v>0</v>
      </c>
      <c r="AU14" s="24">
        <f t="shared" si="1"/>
        <v>144224.55</v>
      </c>
      <c r="AV14" s="24">
        <f t="shared" si="1"/>
        <v>0</v>
      </c>
      <c r="AW14" s="24">
        <f t="shared" si="1"/>
        <v>0</v>
      </c>
      <c r="AX14" s="24">
        <f t="shared" si="1"/>
        <v>18796</v>
      </c>
      <c r="AY14" s="24">
        <f t="shared" si="1"/>
        <v>0</v>
      </c>
      <c r="AZ14" s="24">
        <f t="shared" si="1"/>
        <v>0</v>
      </c>
      <c r="BA14" s="24">
        <f t="shared" si="1"/>
        <v>0</v>
      </c>
      <c r="BB14" s="24">
        <f t="shared" si="1"/>
        <v>6498</v>
      </c>
      <c r="BC14" s="24">
        <f t="shared" si="1"/>
        <v>0</v>
      </c>
      <c r="BD14" s="24">
        <f t="shared" si="1"/>
        <v>35128</v>
      </c>
      <c r="BE14" s="24">
        <f t="shared" si="1"/>
        <v>0</v>
      </c>
      <c r="BF14" s="24">
        <f t="shared" si="1"/>
        <v>0</v>
      </c>
      <c r="BG14" s="24">
        <f t="shared" si="1"/>
        <v>70379.93</v>
      </c>
      <c r="BH14" s="24">
        <f t="shared" si="1"/>
        <v>21322</v>
      </c>
      <c r="BI14" s="56"/>
      <c r="BJ14" s="57"/>
      <c r="BK14" s="57"/>
      <c r="BL14" s="57"/>
      <c r="BM14" s="57"/>
      <c r="BN14" s="57"/>
      <c r="BO14" s="57"/>
    </row>
    <row r="15" spans="1:63" ht="12.75">
      <c r="A15" s="26"/>
      <c r="B15" s="76" t="s">
        <v>86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K15" s="57"/>
    </row>
    <row r="16" spans="1:63" ht="12.75">
      <c r="A16" s="27"/>
      <c r="B16" s="64" t="s">
        <v>94</v>
      </c>
      <c r="C16" s="16">
        <f>SUM(D16:BH16)</f>
        <v>4051550.85</v>
      </c>
      <c r="D16" s="22"/>
      <c r="E16" s="22"/>
      <c r="F16" s="22">
        <v>1298271.5</v>
      </c>
      <c r="G16" s="22">
        <v>261749.41</v>
      </c>
      <c r="H16" s="22">
        <v>385131.68</v>
      </c>
      <c r="I16" s="22"/>
      <c r="J16" s="22">
        <v>244970.07</v>
      </c>
      <c r="K16" s="22"/>
      <c r="L16" s="22">
        <v>1055713.56</v>
      </c>
      <c r="M16" s="22"/>
      <c r="N16" s="22"/>
      <c r="O16" s="22"/>
      <c r="P16" s="22"/>
      <c r="Q16" s="22">
        <v>439025.57</v>
      </c>
      <c r="R16" s="22">
        <v>136151.14</v>
      </c>
      <c r="S16" s="22"/>
      <c r="T16" s="22"/>
      <c r="U16" s="22"/>
      <c r="V16" s="22">
        <v>124556.5</v>
      </c>
      <c r="W16" s="22">
        <v>17879.41</v>
      </c>
      <c r="X16" s="22"/>
      <c r="Y16" s="22"/>
      <c r="Z16" s="22">
        <v>1009.1</v>
      </c>
      <c r="AA16" s="22"/>
      <c r="AB16" s="22"/>
      <c r="AC16" s="22"/>
      <c r="AD16" s="22"/>
      <c r="AE16" s="22"/>
      <c r="AF16" s="22"/>
      <c r="AG16" s="22"/>
      <c r="AH16" s="22">
        <v>23733</v>
      </c>
      <c r="AI16" s="22"/>
      <c r="AJ16" s="22">
        <v>5366</v>
      </c>
      <c r="AK16" s="22"/>
      <c r="AL16" s="22"/>
      <c r="AM16" s="22"/>
      <c r="AN16" s="22"/>
      <c r="AO16" s="22">
        <v>11772.56</v>
      </c>
      <c r="AP16" s="22"/>
      <c r="AQ16" s="22"/>
      <c r="AR16" s="22"/>
      <c r="AS16" s="22"/>
      <c r="AT16" s="22"/>
      <c r="AU16" s="22">
        <v>39367.35</v>
      </c>
      <c r="AV16" s="22"/>
      <c r="AW16" s="22"/>
      <c r="AX16" s="22">
        <v>6146</v>
      </c>
      <c r="AY16" s="22"/>
      <c r="AZ16" s="22"/>
      <c r="BA16" s="22"/>
      <c r="BB16" s="22"/>
      <c r="BC16" s="22"/>
      <c r="BD16" s="22">
        <v>708</v>
      </c>
      <c r="BE16" s="22"/>
      <c r="BF16" s="22"/>
      <c r="BG16" s="22"/>
      <c r="BH16" s="22"/>
      <c r="BK16" s="57"/>
    </row>
    <row r="17" spans="1:63" ht="12.75">
      <c r="A17" s="27"/>
      <c r="B17" s="65" t="s">
        <v>95</v>
      </c>
      <c r="C17" s="16">
        <f>SUM(D17:BH17)</f>
        <v>7853386.479999999</v>
      </c>
      <c r="D17" s="22"/>
      <c r="E17" s="22"/>
      <c r="F17" s="22">
        <v>1593299.1</v>
      </c>
      <c r="G17" s="22">
        <v>1136313.33</v>
      </c>
      <c r="H17" s="22">
        <v>1015914.5</v>
      </c>
      <c r="I17" s="22"/>
      <c r="J17" s="22">
        <v>521796.79</v>
      </c>
      <c r="K17" s="22">
        <v>167704.82</v>
      </c>
      <c r="L17" s="22">
        <v>1007403.55</v>
      </c>
      <c r="M17" s="22">
        <v>369033.3</v>
      </c>
      <c r="N17" s="22">
        <v>139573.36</v>
      </c>
      <c r="O17" s="22">
        <v>119706.84</v>
      </c>
      <c r="P17" s="22"/>
      <c r="Q17" s="22">
        <v>791706.76</v>
      </c>
      <c r="R17" s="22">
        <v>335226.1</v>
      </c>
      <c r="S17" s="22">
        <v>53571.52</v>
      </c>
      <c r="T17" s="22">
        <v>49185.28</v>
      </c>
      <c r="U17" s="22">
        <v>100628</v>
      </c>
      <c r="V17" s="22">
        <v>100000</v>
      </c>
      <c r="W17" s="22">
        <v>64773</v>
      </c>
      <c r="X17" s="22"/>
      <c r="Y17" s="22"/>
      <c r="Z17" s="22">
        <v>254.2</v>
      </c>
      <c r="AA17" s="22"/>
      <c r="AB17" s="22"/>
      <c r="AC17" s="22"/>
      <c r="AD17" s="22">
        <v>3545.27</v>
      </c>
      <c r="AE17" s="22"/>
      <c r="AF17" s="22">
        <v>5754</v>
      </c>
      <c r="AG17" s="22"/>
      <c r="AH17" s="22">
        <v>10855</v>
      </c>
      <c r="AI17" s="22"/>
      <c r="AJ17" s="22">
        <v>6056</v>
      </c>
      <c r="AK17" s="22">
        <v>5257</v>
      </c>
      <c r="AL17" s="22"/>
      <c r="AM17" s="22"/>
      <c r="AN17" s="22"/>
      <c r="AO17" s="22">
        <v>4333.63</v>
      </c>
      <c r="AP17" s="22">
        <v>7866</v>
      </c>
      <c r="AQ17" s="22"/>
      <c r="AR17" s="22"/>
      <c r="AS17" s="22"/>
      <c r="AT17" s="22"/>
      <c r="AU17" s="22">
        <v>104857.2</v>
      </c>
      <c r="AV17" s="22"/>
      <c r="AW17" s="22"/>
      <c r="AX17" s="22">
        <v>12650</v>
      </c>
      <c r="AY17" s="22"/>
      <c r="AZ17" s="22"/>
      <c r="BA17" s="22"/>
      <c r="BB17" s="22"/>
      <c r="BC17" s="22"/>
      <c r="BD17" s="22">
        <v>34420</v>
      </c>
      <c r="BE17" s="22"/>
      <c r="BF17" s="22"/>
      <c r="BG17" s="22">
        <v>70379.93</v>
      </c>
      <c r="BH17" s="22">
        <v>21322</v>
      </c>
      <c r="BK17" s="57"/>
    </row>
    <row r="18" spans="1:63" ht="12.75">
      <c r="A18" s="27"/>
      <c r="B18" s="65" t="s">
        <v>96</v>
      </c>
      <c r="C18" s="16">
        <f>SUM(D18:BH18)</f>
        <v>1729911.37</v>
      </c>
      <c r="D18" s="22"/>
      <c r="E18" s="22"/>
      <c r="F18" s="22"/>
      <c r="G18" s="22"/>
      <c r="H18" s="22"/>
      <c r="I18" s="22"/>
      <c r="J18" s="22"/>
      <c r="K18" s="22"/>
      <c r="L18" s="22"/>
      <c r="M18" s="22">
        <v>1686255.37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>
        <v>37158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>
        <v>6498</v>
      </c>
      <c r="BC18" s="22"/>
      <c r="BD18" s="22"/>
      <c r="BE18" s="22"/>
      <c r="BF18" s="22"/>
      <c r="BG18" s="22"/>
      <c r="BH18" s="22"/>
      <c r="BK18" s="57"/>
    </row>
    <row r="19" spans="1:63" ht="12.75">
      <c r="A19" s="27"/>
      <c r="B19" s="77"/>
      <c r="C19" s="16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K19" s="57"/>
    </row>
    <row r="20" spans="1:63" s="25" customFormat="1" ht="12.75">
      <c r="A20" s="28" t="s">
        <v>62</v>
      </c>
      <c r="B20" s="78" t="s">
        <v>63</v>
      </c>
      <c r="C20" s="16">
        <f>SUM(D20:BH20)</f>
        <v>89271491.50999999</v>
      </c>
      <c r="D20" s="21">
        <f aca="true" t="shared" si="2" ref="D20:AI20">SUM(D22:D26)</f>
        <v>0</v>
      </c>
      <c r="E20" s="21">
        <f t="shared" si="2"/>
        <v>0</v>
      </c>
      <c r="F20" s="21">
        <f t="shared" si="2"/>
        <v>0.03</v>
      </c>
      <c r="G20" s="21">
        <f t="shared" si="2"/>
        <v>0</v>
      </c>
      <c r="H20" s="21">
        <f>SUM(H22:H28)</f>
        <v>33500000.2</v>
      </c>
      <c r="I20" s="21">
        <f t="shared" si="2"/>
        <v>204649.45</v>
      </c>
      <c r="J20" s="21">
        <f t="shared" si="2"/>
        <v>0</v>
      </c>
      <c r="K20" s="21">
        <f t="shared" si="2"/>
        <v>4364734.08</v>
      </c>
      <c r="L20" s="21">
        <f t="shared" si="2"/>
        <v>0</v>
      </c>
      <c r="M20" s="21">
        <f t="shared" si="2"/>
        <v>49500000</v>
      </c>
      <c r="N20" s="21">
        <f t="shared" si="2"/>
        <v>0</v>
      </c>
      <c r="O20" s="21">
        <f t="shared" si="2"/>
        <v>1338594.56</v>
      </c>
      <c r="P20" s="21">
        <f t="shared" si="2"/>
        <v>0</v>
      </c>
      <c r="Q20" s="21">
        <f t="shared" si="2"/>
        <v>0</v>
      </c>
      <c r="R20" s="21">
        <f t="shared" si="2"/>
        <v>0</v>
      </c>
      <c r="S20" s="21">
        <f t="shared" si="2"/>
        <v>0</v>
      </c>
      <c r="T20" s="21">
        <f t="shared" si="2"/>
        <v>0</v>
      </c>
      <c r="U20" s="21">
        <f t="shared" si="2"/>
        <v>0</v>
      </c>
      <c r="V20" s="21">
        <f t="shared" si="2"/>
        <v>0</v>
      </c>
      <c r="W20" s="21">
        <f t="shared" si="2"/>
        <v>319524.19</v>
      </c>
      <c r="X20" s="21">
        <f t="shared" si="2"/>
        <v>0</v>
      </c>
      <c r="Y20" s="21">
        <f t="shared" si="2"/>
        <v>0</v>
      </c>
      <c r="Z20" s="21">
        <f t="shared" si="2"/>
        <v>0</v>
      </c>
      <c r="AA20" s="21">
        <f t="shared" si="2"/>
        <v>0</v>
      </c>
      <c r="AB20" s="21">
        <f t="shared" si="2"/>
        <v>10020</v>
      </c>
      <c r="AC20" s="21">
        <f t="shared" si="2"/>
        <v>0</v>
      </c>
      <c r="AD20" s="21">
        <f t="shared" si="2"/>
        <v>40</v>
      </c>
      <c r="AE20" s="21">
        <f t="shared" si="2"/>
        <v>0</v>
      </c>
      <c r="AF20" s="21">
        <f t="shared" si="2"/>
        <v>0</v>
      </c>
      <c r="AG20" s="21">
        <f t="shared" si="2"/>
        <v>0</v>
      </c>
      <c r="AH20" s="21">
        <f t="shared" si="2"/>
        <v>0</v>
      </c>
      <c r="AI20" s="21">
        <f t="shared" si="2"/>
        <v>0</v>
      </c>
      <c r="AJ20" s="21">
        <f aca="true" t="shared" si="3" ref="AJ20:BH20">SUM(AJ22:AJ26)</f>
        <v>0</v>
      </c>
      <c r="AK20" s="21">
        <f t="shared" si="3"/>
        <v>0</v>
      </c>
      <c r="AL20" s="21">
        <f t="shared" si="3"/>
        <v>0</v>
      </c>
      <c r="AM20" s="21">
        <f t="shared" si="3"/>
        <v>0</v>
      </c>
      <c r="AN20" s="21">
        <f t="shared" si="3"/>
        <v>0</v>
      </c>
      <c r="AO20" s="21">
        <f t="shared" si="3"/>
        <v>0</v>
      </c>
      <c r="AP20" s="21">
        <f t="shared" si="3"/>
        <v>0</v>
      </c>
      <c r="AQ20" s="21">
        <f t="shared" si="3"/>
        <v>0</v>
      </c>
      <c r="AR20" s="21">
        <f t="shared" si="3"/>
        <v>0</v>
      </c>
      <c r="AS20" s="21">
        <f t="shared" si="3"/>
        <v>0</v>
      </c>
      <c r="AT20" s="21">
        <f t="shared" si="3"/>
        <v>0</v>
      </c>
      <c r="AU20" s="21">
        <f t="shared" si="3"/>
        <v>0</v>
      </c>
      <c r="AV20" s="21">
        <f t="shared" si="3"/>
        <v>19033</v>
      </c>
      <c r="AW20" s="21">
        <f t="shared" si="3"/>
        <v>0</v>
      </c>
      <c r="AX20" s="21">
        <f t="shared" si="3"/>
        <v>0</v>
      </c>
      <c r="AY20" s="21">
        <f t="shared" si="3"/>
        <v>0</v>
      </c>
      <c r="AZ20" s="21">
        <f t="shared" si="3"/>
        <v>0</v>
      </c>
      <c r="BA20" s="21">
        <f t="shared" si="3"/>
        <v>936</v>
      </c>
      <c r="BB20" s="21">
        <f t="shared" si="3"/>
        <v>0</v>
      </c>
      <c r="BC20" s="21">
        <f t="shared" si="3"/>
        <v>0</v>
      </c>
      <c r="BD20" s="21">
        <f t="shared" si="3"/>
        <v>0</v>
      </c>
      <c r="BE20" s="21">
        <f t="shared" si="3"/>
        <v>0</v>
      </c>
      <c r="BF20" s="21">
        <f t="shared" si="3"/>
        <v>0</v>
      </c>
      <c r="BG20" s="21">
        <f t="shared" si="3"/>
        <v>0</v>
      </c>
      <c r="BH20" s="21">
        <f t="shared" si="3"/>
        <v>13960</v>
      </c>
      <c r="BK20" s="57"/>
    </row>
    <row r="21" spans="1:63" s="25" customFormat="1" ht="12.75">
      <c r="A21" s="28"/>
      <c r="B21" s="79" t="s">
        <v>86</v>
      </c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K21" s="57"/>
    </row>
    <row r="22" spans="1:63" ht="12.75">
      <c r="A22" s="27"/>
      <c r="B22" s="80" t="s">
        <v>90</v>
      </c>
      <c r="C22" s="29">
        <f aca="true" t="shared" si="4" ref="C22:C27">SUM(D22:BH22)</f>
        <v>936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>
        <v>936</v>
      </c>
      <c r="BB22" s="22"/>
      <c r="BC22" s="22"/>
      <c r="BD22" s="22"/>
      <c r="BE22" s="22"/>
      <c r="BF22" s="22"/>
      <c r="BG22" s="22"/>
      <c r="BH22" s="22"/>
      <c r="BK22" s="57"/>
    </row>
    <row r="23" spans="1:63" s="32" customFormat="1" ht="12.75">
      <c r="A23" s="30"/>
      <c r="B23" s="81" t="s">
        <v>77</v>
      </c>
      <c r="C23" s="29">
        <f t="shared" si="4"/>
        <v>24020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>
        <v>10020</v>
      </c>
      <c r="AC23" s="31"/>
      <c r="AD23" s="31">
        <v>40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>
        <v>13960</v>
      </c>
      <c r="BK23" s="57"/>
    </row>
    <row r="24" spans="1:120" s="32" customFormat="1" ht="24">
      <c r="A24" s="30"/>
      <c r="B24" s="82" t="s">
        <v>82</v>
      </c>
      <c r="C24" s="55">
        <f t="shared" si="4"/>
        <v>54407940.949999996</v>
      </c>
      <c r="D24" s="31"/>
      <c r="E24" s="31"/>
      <c r="F24" s="31">
        <v>0.03</v>
      </c>
      <c r="G24" s="31"/>
      <c r="H24" s="31">
        <v>0.2</v>
      </c>
      <c r="I24" s="31">
        <v>204649.45</v>
      </c>
      <c r="J24" s="31"/>
      <c r="K24" s="31">
        <v>4364734.08</v>
      </c>
      <c r="L24" s="31"/>
      <c r="M24" s="31">
        <v>49500000</v>
      </c>
      <c r="N24" s="31"/>
      <c r="O24" s="31"/>
      <c r="P24" s="31"/>
      <c r="Q24" s="31"/>
      <c r="R24" s="31"/>
      <c r="S24" s="31"/>
      <c r="T24" s="31"/>
      <c r="U24" s="31"/>
      <c r="V24" s="31"/>
      <c r="W24" s="31">
        <v>319524.19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>
        <v>19033</v>
      </c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54"/>
      <c r="BJ24" s="54"/>
      <c r="BK24" s="57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</row>
    <row r="25" spans="1:120" s="32" customFormat="1" ht="12.75">
      <c r="A25" s="30"/>
      <c r="B25" s="82" t="s">
        <v>91</v>
      </c>
      <c r="C25" s="55">
        <f t="shared" si="4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54"/>
      <c r="BJ25" s="54"/>
      <c r="BK25" s="57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</row>
    <row r="26" spans="1:120" s="32" customFormat="1" ht="12.75">
      <c r="A26" s="30"/>
      <c r="B26" s="83" t="s">
        <v>87</v>
      </c>
      <c r="C26" s="55">
        <f t="shared" si="4"/>
        <v>1338594.56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>
        <v>1338594.56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54"/>
      <c r="BJ26" s="54"/>
      <c r="BK26" s="57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</row>
    <row r="27" spans="1:120" s="32" customFormat="1" ht="12.75">
      <c r="A27" s="30"/>
      <c r="B27" s="83" t="s">
        <v>102</v>
      </c>
      <c r="C27" s="55">
        <f t="shared" si="4"/>
        <v>33500000</v>
      </c>
      <c r="D27" s="31"/>
      <c r="E27" s="31"/>
      <c r="F27" s="31"/>
      <c r="G27" s="31"/>
      <c r="H27" s="31">
        <v>33500000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54"/>
      <c r="BJ27" s="54"/>
      <c r="BK27" s="57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</row>
    <row r="28" spans="1:63" ht="13.5" thickBot="1">
      <c r="A28" s="18"/>
      <c r="B28" s="84"/>
      <c r="C28" s="1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K28" s="57"/>
    </row>
    <row r="29" spans="1:63" s="35" customFormat="1" ht="14.25" thickBot="1" thickTop="1">
      <c r="A29" s="33" t="s">
        <v>64</v>
      </c>
      <c r="B29" s="85" t="s">
        <v>65</v>
      </c>
      <c r="C29" s="34">
        <f>SUM(D29:BH29)</f>
        <v>102906340.21</v>
      </c>
      <c r="D29" s="34">
        <f aca="true" t="shared" si="5" ref="D29:AI29">SUM(D14,D20)</f>
        <v>0</v>
      </c>
      <c r="E29" s="34">
        <f t="shared" si="5"/>
        <v>0</v>
      </c>
      <c r="F29" s="34">
        <f t="shared" si="5"/>
        <v>2891570.63</v>
      </c>
      <c r="G29" s="34">
        <f t="shared" si="5"/>
        <v>1398062.74</v>
      </c>
      <c r="H29" s="34">
        <f t="shared" si="5"/>
        <v>34901046.38</v>
      </c>
      <c r="I29" s="34">
        <f t="shared" si="5"/>
        <v>204649.45</v>
      </c>
      <c r="J29" s="34">
        <f t="shared" si="5"/>
        <v>766766.86</v>
      </c>
      <c r="K29" s="34">
        <f t="shared" si="5"/>
        <v>4532438.9</v>
      </c>
      <c r="L29" s="34">
        <f t="shared" si="5"/>
        <v>2063117.11</v>
      </c>
      <c r="M29" s="34">
        <f t="shared" si="5"/>
        <v>51555288.67</v>
      </c>
      <c r="N29" s="34">
        <f t="shared" si="5"/>
        <v>139573.36</v>
      </c>
      <c r="O29" s="34">
        <f t="shared" si="5"/>
        <v>1458301.4000000001</v>
      </c>
      <c r="P29" s="34">
        <f t="shared" si="5"/>
        <v>0</v>
      </c>
      <c r="Q29" s="34">
        <f t="shared" si="5"/>
        <v>1230732.33</v>
      </c>
      <c r="R29" s="34">
        <f t="shared" si="5"/>
        <v>471377.24</v>
      </c>
      <c r="S29" s="34">
        <f t="shared" si="5"/>
        <v>53571.52</v>
      </c>
      <c r="T29" s="34">
        <f t="shared" si="5"/>
        <v>49185.28</v>
      </c>
      <c r="U29" s="34">
        <f t="shared" si="5"/>
        <v>100628</v>
      </c>
      <c r="V29" s="34">
        <f t="shared" si="5"/>
        <v>224556.5</v>
      </c>
      <c r="W29" s="34">
        <f t="shared" si="5"/>
        <v>402176.6</v>
      </c>
      <c r="X29" s="34">
        <f t="shared" si="5"/>
        <v>0</v>
      </c>
      <c r="Y29" s="34">
        <f t="shared" si="5"/>
        <v>0</v>
      </c>
      <c r="Z29" s="34">
        <f t="shared" si="5"/>
        <v>1263.3</v>
      </c>
      <c r="AA29" s="34">
        <f t="shared" si="5"/>
        <v>0</v>
      </c>
      <c r="AB29" s="34">
        <f t="shared" si="5"/>
        <v>10020</v>
      </c>
      <c r="AC29" s="34">
        <f t="shared" si="5"/>
        <v>0</v>
      </c>
      <c r="AD29" s="34">
        <f t="shared" si="5"/>
        <v>3585.27</v>
      </c>
      <c r="AE29" s="34">
        <f t="shared" si="5"/>
        <v>0</v>
      </c>
      <c r="AF29" s="34">
        <f t="shared" si="5"/>
        <v>5754</v>
      </c>
      <c r="AG29" s="34">
        <f t="shared" si="5"/>
        <v>0</v>
      </c>
      <c r="AH29" s="34">
        <f t="shared" si="5"/>
        <v>71746</v>
      </c>
      <c r="AI29" s="34">
        <f t="shared" si="5"/>
        <v>0</v>
      </c>
      <c r="AJ29" s="34">
        <f aca="true" t="shared" si="6" ref="AJ29:BH29">SUM(AJ14,AJ20)</f>
        <v>11422</v>
      </c>
      <c r="AK29" s="34">
        <f t="shared" si="6"/>
        <v>5257</v>
      </c>
      <c r="AL29" s="34">
        <f t="shared" si="6"/>
        <v>0</v>
      </c>
      <c r="AM29" s="34">
        <f t="shared" si="6"/>
        <v>0</v>
      </c>
      <c r="AN29" s="34">
        <f t="shared" si="6"/>
        <v>0</v>
      </c>
      <c r="AO29" s="34">
        <f t="shared" si="6"/>
        <v>16106.189999999999</v>
      </c>
      <c r="AP29" s="34">
        <f t="shared" si="6"/>
        <v>7866</v>
      </c>
      <c r="AQ29" s="34">
        <f t="shared" si="6"/>
        <v>0</v>
      </c>
      <c r="AR29" s="34">
        <f t="shared" si="6"/>
        <v>0</v>
      </c>
      <c r="AS29" s="34">
        <f t="shared" si="6"/>
        <v>0</v>
      </c>
      <c r="AT29" s="34">
        <f t="shared" si="6"/>
        <v>0</v>
      </c>
      <c r="AU29" s="34">
        <f t="shared" si="6"/>
        <v>144224.55</v>
      </c>
      <c r="AV29" s="34">
        <f t="shared" si="6"/>
        <v>19033</v>
      </c>
      <c r="AW29" s="34">
        <f t="shared" si="6"/>
        <v>0</v>
      </c>
      <c r="AX29" s="34">
        <f t="shared" si="6"/>
        <v>18796</v>
      </c>
      <c r="AY29" s="34">
        <f t="shared" si="6"/>
        <v>0</v>
      </c>
      <c r="AZ29" s="34">
        <f t="shared" si="6"/>
        <v>0</v>
      </c>
      <c r="BA29" s="34">
        <f t="shared" si="6"/>
        <v>936</v>
      </c>
      <c r="BB29" s="34">
        <f t="shared" si="6"/>
        <v>6498</v>
      </c>
      <c r="BC29" s="34">
        <f t="shared" si="6"/>
        <v>0</v>
      </c>
      <c r="BD29" s="34">
        <f t="shared" si="6"/>
        <v>35128</v>
      </c>
      <c r="BE29" s="34">
        <f t="shared" si="6"/>
        <v>0</v>
      </c>
      <c r="BF29" s="34">
        <f t="shared" si="6"/>
        <v>0</v>
      </c>
      <c r="BG29" s="34">
        <f t="shared" si="6"/>
        <v>70379.93</v>
      </c>
      <c r="BH29" s="34">
        <f t="shared" si="6"/>
        <v>35282</v>
      </c>
      <c r="BK29" s="57"/>
    </row>
    <row r="30" spans="1:63" s="38" customFormat="1" ht="13.5" thickTop="1">
      <c r="A30" s="36"/>
      <c r="B30" s="86"/>
      <c r="C30" s="24"/>
      <c r="D30" s="37"/>
      <c r="E30" s="52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K30" s="57"/>
    </row>
    <row r="31" spans="1:63" ht="12.75">
      <c r="A31" s="39"/>
      <c r="B31" s="87" t="s">
        <v>66</v>
      </c>
      <c r="C31" s="16"/>
      <c r="D31" s="40"/>
      <c r="E31" s="17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K31" s="57"/>
    </row>
    <row r="32" spans="1:63" ht="12.75">
      <c r="A32" s="39"/>
      <c r="B32" s="75"/>
      <c r="C32" s="16"/>
      <c r="D32" s="40"/>
      <c r="E32" s="17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K32" s="57"/>
    </row>
    <row r="33" spans="1:63" s="25" customFormat="1" ht="12.75">
      <c r="A33" s="41" t="s">
        <v>67</v>
      </c>
      <c r="B33" s="87" t="s">
        <v>68</v>
      </c>
      <c r="C33" s="16">
        <f aca="true" t="shared" si="7" ref="C33:C40">SUM(D33:BH33)</f>
        <v>3709037.9799999995</v>
      </c>
      <c r="D33" s="42">
        <f aca="true" t="shared" si="8" ref="D33:AI33">SUM(D34:D40)</f>
        <v>0</v>
      </c>
      <c r="E33" s="42">
        <f t="shared" si="8"/>
        <v>15475.900000000001</v>
      </c>
      <c r="F33" s="42">
        <f t="shared" si="8"/>
        <v>14100</v>
      </c>
      <c r="G33" s="42">
        <f t="shared" si="8"/>
        <v>0</v>
      </c>
      <c r="H33" s="42">
        <f t="shared" si="8"/>
        <v>0</v>
      </c>
      <c r="I33" s="42">
        <f t="shared" si="8"/>
        <v>1386892.89</v>
      </c>
      <c r="J33" s="42">
        <f t="shared" si="8"/>
        <v>0</v>
      </c>
      <c r="K33" s="42">
        <f t="shared" si="8"/>
        <v>574099.48</v>
      </c>
      <c r="L33" s="42">
        <f t="shared" si="8"/>
        <v>0</v>
      </c>
      <c r="M33" s="42">
        <f t="shared" si="8"/>
        <v>105890.67</v>
      </c>
      <c r="N33" s="42">
        <f t="shared" si="8"/>
        <v>400893.43</v>
      </c>
      <c r="O33" s="42">
        <f t="shared" si="8"/>
        <v>226339.72</v>
      </c>
      <c r="P33" s="42">
        <f t="shared" si="8"/>
        <v>189141.86000000002</v>
      </c>
      <c r="Q33" s="42">
        <f t="shared" si="8"/>
        <v>59961</v>
      </c>
      <c r="R33" s="42">
        <f t="shared" si="8"/>
        <v>0</v>
      </c>
      <c r="S33" s="42">
        <f t="shared" si="8"/>
        <v>5582.570000000001</v>
      </c>
      <c r="T33" s="42">
        <f t="shared" si="8"/>
        <v>103832.37</v>
      </c>
      <c r="U33" s="42">
        <f t="shared" si="8"/>
        <v>16559.4</v>
      </c>
      <c r="V33" s="42">
        <f t="shared" si="8"/>
        <v>4000</v>
      </c>
      <c r="W33" s="42">
        <f t="shared" si="8"/>
        <v>0</v>
      </c>
      <c r="X33" s="42">
        <f t="shared" si="8"/>
        <v>5247</v>
      </c>
      <c r="Y33" s="42">
        <f t="shared" si="8"/>
        <v>0</v>
      </c>
      <c r="Z33" s="42">
        <f t="shared" si="8"/>
        <v>0</v>
      </c>
      <c r="AA33" s="42">
        <f t="shared" si="8"/>
        <v>26300</v>
      </c>
      <c r="AB33" s="42">
        <f t="shared" si="8"/>
        <v>0</v>
      </c>
      <c r="AC33" s="42">
        <f t="shared" si="8"/>
        <v>21367.89</v>
      </c>
      <c r="AD33" s="42">
        <f t="shared" si="8"/>
        <v>1192.63</v>
      </c>
      <c r="AE33" s="42">
        <f t="shared" si="8"/>
        <v>0</v>
      </c>
      <c r="AF33" s="42">
        <f t="shared" si="8"/>
        <v>0</v>
      </c>
      <c r="AG33" s="42">
        <f t="shared" si="8"/>
        <v>76379.36</v>
      </c>
      <c r="AH33" s="42">
        <f t="shared" si="8"/>
        <v>0</v>
      </c>
      <c r="AI33" s="42">
        <f t="shared" si="8"/>
        <v>0</v>
      </c>
      <c r="AJ33" s="42">
        <f aca="true" t="shared" si="9" ref="AJ33:BH33">SUM(AJ34:AJ40)</f>
        <v>0</v>
      </c>
      <c r="AK33" s="42">
        <f t="shared" si="9"/>
        <v>2845</v>
      </c>
      <c r="AL33" s="42">
        <f t="shared" si="9"/>
        <v>32270.8</v>
      </c>
      <c r="AM33" s="42">
        <f t="shared" si="9"/>
        <v>0</v>
      </c>
      <c r="AN33" s="42">
        <f t="shared" si="9"/>
        <v>41548.6</v>
      </c>
      <c r="AO33" s="42">
        <f t="shared" si="9"/>
        <v>113887</v>
      </c>
      <c r="AP33" s="42">
        <f t="shared" si="9"/>
        <v>572</v>
      </c>
      <c r="AQ33" s="42">
        <f t="shared" si="9"/>
        <v>4700</v>
      </c>
      <c r="AR33" s="42">
        <f t="shared" si="9"/>
        <v>14604</v>
      </c>
      <c r="AS33" s="42">
        <f t="shared" si="9"/>
        <v>29823.5</v>
      </c>
      <c r="AT33" s="42">
        <f t="shared" si="9"/>
        <v>9688</v>
      </c>
      <c r="AU33" s="42">
        <f t="shared" si="9"/>
        <v>0</v>
      </c>
      <c r="AV33" s="42">
        <f t="shared" si="9"/>
        <v>29026</v>
      </c>
      <c r="AW33" s="42">
        <f t="shared" si="9"/>
        <v>38767.36</v>
      </c>
      <c r="AX33" s="42">
        <f t="shared" si="9"/>
        <v>0</v>
      </c>
      <c r="AY33" s="42">
        <f t="shared" si="9"/>
        <v>1641.8600000000001</v>
      </c>
      <c r="AZ33" s="42">
        <f t="shared" si="9"/>
        <v>19083.670000000002</v>
      </c>
      <c r="BA33" s="42">
        <f t="shared" si="9"/>
        <v>8</v>
      </c>
      <c r="BB33" s="42">
        <f t="shared" si="9"/>
        <v>13666</v>
      </c>
      <c r="BC33" s="42">
        <f t="shared" si="9"/>
        <v>34834.5</v>
      </c>
      <c r="BD33" s="42">
        <f t="shared" si="9"/>
        <v>0</v>
      </c>
      <c r="BE33" s="42">
        <f t="shared" si="9"/>
        <v>56944</v>
      </c>
      <c r="BF33" s="42">
        <f t="shared" si="9"/>
        <v>21846.1</v>
      </c>
      <c r="BG33" s="42">
        <f t="shared" si="9"/>
        <v>969.72</v>
      </c>
      <c r="BH33" s="42">
        <f t="shared" si="9"/>
        <v>9055.7</v>
      </c>
      <c r="BK33" s="57"/>
    </row>
    <row r="34" spans="1:63" ht="12.75">
      <c r="A34" s="39"/>
      <c r="B34" s="76" t="s">
        <v>86</v>
      </c>
      <c r="C34" s="16"/>
      <c r="D34" s="40"/>
      <c r="E34" s="17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K34" s="57"/>
    </row>
    <row r="35" spans="1:63" ht="12.75">
      <c r="A35" s="39"/>
      <c r="B35" s="81" t="s">
        <v>92</v>
      </c>
      <c r="C35" s="16">
        <f t="shared" si="7"/>
        <v>220480.78</v>
      </c>
      <c r="D35" s="40"/>
      <c r="E35" s="17"/>
      <c r="F35" s="40"/>
      <c r="G35" s="40"/>
      <c r="H35" s="40"/>
      <c r="I35" s="40">
        <v>209905.94</v>
      </c>
      <c r="J35" s="40"/>
      <c r="K35" s="40"/>
      <c r="L35" s="40"/>
      <c r="M35" s="40">
        <v>573.84</v>
      </c>
      <c r="N35" s="40"/>
      <c r="O35" s="40"/>
      <c r="P35" s="40">
        <v>10001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K35" s="57"/>
    </row>
    <row r="36" spans="1:63" ht="12.75">
      <c r="A36" s="39"/>
      <c r="B36" s="88" t="s">
        <v>79</v>
      </c>
      <c r="C36" s="16">
        <f t="shared" si="7"/>
        <v>0</v>
      </c>
      <c r="D36" s="40"/>
      <c r="E36" s="17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K36" s="57"/>
    </row>
    <row r="37" spans="1:63" ht="12.75">
      <c r="A37" s="39"/>
      <c r="B37" s="89" t="s">
        <v>94</v>
      </c>
      <c r="C37" s="16">
        <f t="shared" si="7"/>
        <v>2464060.24</v>
      </c>
      <c r="D37" s="40"/>
      <c r="E37" s="17">
        <v>9623.2</v>
      </c>
      <c r="F37" s="40"/>
      <c r="G37" s="40"/>
      <c r="H37" s="40"/>
      <c r="I37" s="40">
        <v>772144.71</v>
      </c>
      <c r="J37" s="40"/>
      <c r="K37" s="40">
        <v>482674.82</v>
      </c>
      <c r="L37" s="40"/>
      <c r="M37" s="40">
        <v>104716.83</v>
      </c>
      <c r="N37" s="40">
        <v>400893.43</v>
      </c>
      <c r="O37" s="40">
        <v>221814.72</v>
      </c>
      <c r="P37" s="40">
        <v>47378.35</v>
      </c>
      <c r="Q37" s="40"/>
      <c r="R37" s="40"/>
      <c r="S37" s="40">
        <v>396.97</v>
      </c>
      <c r="T37" s="40">
        <v>103832.37</v>
      </c>
      <c r="U37" s="40">
        <v>16559.4</v>
      </c>
      <c r="V37" s="40"/>
      <c r="W37" s="40"/>
      <c r="X37" s="40">
        <v>1794</v>
      </c>
      <c r="Y37" s="40"/>
      <c r="Z37" s="40"/>
      <c r="AA37" s="40">
        <v>13103</v>
      </c>
      <c r="AB37" s="40"/>
      <c r="AC37" s="40">
        <v>21367.89</v>
      </c>
      <c r="AD37" s="40">
        <v>1192.63</v>
      </c>
      <c r="AE37" s="40"/>
      <c r="AF37" s="40"/>
      <c r="AG37" s="40">
        <v>34121.32</v>
      </c>
      <c r="AH37" s="40"/>
      <c r="AI37" s="40"/>
      <c r="AJ37" s="40"/>
      <c r="AK37" s="40">
        <v>2845</v>
      </c>
      <c r="AL37" s="40">
        <v>18139</v>
      </c>
      <c r="AM37" s="40"/>
      <c r="AN37" s="40">
        <v>39870.5</v>
      </c>
      <c r="AO37" s="40"/>
      <c r="AP37" s="40">
        <v>572</v>
      </c>
      <c r="AQ37" s="40"/>
      <c r="AR37" s="40">
        <v>13616</v>
      </c>
      <c r="AS37" s="40">
        <v>28782</v>
      </c>
      <c r="AT37" s="40">
        <v>4031.5</v>
      </c>
      <c r="AU37" s="40"/>
      <c r="AV37" s="40">
        <v>22515</v>
      </c>
      <c r="AW37" s="40">
        <v>15512.16</v>
      </c>
      <c r="AX37" s="40"/>
      <c r="AY37" s="40">
        <v>1052.72</v>
      </c>
      <c r="AZ37" s="40">
        <v>6755.3</v>
      </c>
      <c r="BA37" s="40">
        <v>8</v>
      </c>
      <c r="BB37" s="40">
        <v>10716</v>
      </c>
      <c r="BC37" s="40">
        <v>15459.5</v>
      </c>
      <c r="BD37" s="40"/>
      <c r="BE37" s="40">
        <v>35289</v>
      </c>
      <c r="BF37" s="40">
        <v>7257.5</v>
      </c>
      <c r="BG37" s="40">
        <v>969.72</v>
      </c>
      <c r="BH37" s="40">
        <v>9055.7</v>
      </c>
      <c r="BK37" s="57"/>
    </row>
    <row r="38" spans="1:63" ht="12.75">
      <c r="A38" s="39"/>
      <c r="B38" s="65" t="s">
        <v>97</v>
      </c>
      <c r="C38" s="16">
        <f t="shared" si="7"/>
        <v>722660.7</v>
      </c>
      <c r="D38" s="40"/>
      <c r="E38" s="17">
        <v>5852.7</v>
      </c>
      <c r="F38" s="40"/>
      <c r="G38" s="40"/>
      <c r="H38" s="40"/>
      <c r="I38" s="40">
        <v>404842.24</v>
      </c>
      <c r="J38" s="40"/>
      <c r="K38" s="40"/>
      <c r="L38" s="40"/>
      <c r="M38" s="40"/>
      <c r="N38" s="40"/>
      <c r="O38" s="40"/>
      <c r="P38" s="40">
        <v>131762.51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>
        <v>13197</v>
      </c>
      <c r="AB38" s="40"/>
      <c r="AC38" s="40"/>
      <c r="AD38" s="40"/>
      <c r="AE38" s="40"/>
      <c r="AF38" s="40"/>
      <c r="AG38" s="40">
        <v>42258.04</v>
      </c>
      <c r="AH38" s="40"/>
      <c r="AI38" s="40"/>
      <c r="AJ38" s="40"/>
      <c r="AK38" s="40"/>
      <c r="AL38" s="40">
        <v>14131.8</v>
      </c>
      <c r="AM38" s="40"/>
      <c r="AN38" s="40">
        <v>1678.1</v>
      </c>
      <c r="AO38" s="40"/>
      <c r="AP38" s="40"/>
      <c r="AQ38" s="40"/>
      <c r="AR38" s="40">
        <v>988</v>
      </c>
      <c r="AS38" s="40">
        <v>1041.5</v>
      </c>
      <c r="AT38" s="40">
        <v>5656.5</v>
      </c>
      <c r="AU38" s="40"/>
      <c r="AV38" s="40">
        <v>6511</v>
      </c>
      <c r="AW38" s="40">
        <v>23255.2</v>
      </c>
      <c r="AX38" s="40"/>
      <c r="AY38" s="40">
        <v>589.14</v>
      </c>
      <c r="AZ38" s="40">
        <v>12328.37</v>
      </c>
      <c r="BA38" s="40"/>
      <c r="BB38" s="40">
        <v>2950</v>
      </c>
      <c r="BC38" s="40">
        <v>19375</v>
      </c>
      <c r="BD38" s="40"/>
      <c r="BE38" s="40">
        <v>21655</v>
      </c>
      <c r="BF38" s="40">
        <v>14588.6</v>
      </c>
      <c r="BG38" s="40"/>
      <c r="BH38" s="40"/>
      <c r="BK38" s="57"/>
    </row>
    <row r="39" spans="1:63" s="46" customFormat="1" ht="12.75">
      <c r="A39" s="43"/>
      <c r="B39" s="65" t="s">
        <v>98</v>
      </c>
      <c r="C39" s="44">
        <f t="shared" si="7"/>
        <v>0</v>
      </c>
      <c r="D39" s="45"/>
      <c r="E39" s="53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K39" s="57"/>
    </row>
    <row r="40" spans="1:63" ht="12.75">
      <c r="A40" s="39"/>
      <c r="B40" s="90" t="s">
        <v>80</v>
      </c>
      <c r="C40" s="16">
        <f t="shared" si="7"/>
        <v>301836.26</v>
      </c>
      <c r="D40" s="40"/>
      <c r="E40" s="17"/>
      <c r="F40" s="40">
        <v>14100</v>
      </c>
      <c r="G40" s="40"/>
      <c r="H40" s="40"/>
      <c r="I40" s="40"/>
      <c r="J40" s="40"/>
      <c r="K40" s="40">
        <v>91424.66</v>
      </c>
      <c r="L40" s="40"/>
      <c r="M40" s="40">
        <v>600</v>
      </c>
      <c r="N40" s="40"/>
      <c r="O40" s="40">
        <v>4525</v>
      </c>
      <c r="P40" s="40"/>
      <c r="Q40" s="40">
        <v>59961</v>
      </c>
      <c r="R40" s="40"/>
      <c r="S40" s="40">
        <v>5185.6</v>
      </c>
      <c r="T40" s="40"/>
      <c r="U40" s="40"/>
      <c r="V40" s="40">
        <v>4000</v>
      </c>
      <c r="W40" s="40"/>
      <c r="X40" s="40">
        <v>3453</v>
      </c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>
        <v>113887</v>
      </c>
      <c r="AP40" s="40"/>
      <c r="AQ40" s="40">
        <v>4700</v>
      </c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K40" s="57"/>
    </row>
    <row r="41" spans="1:63" ht="12.75">
      <c r="A41" s="39"/>
      <c r="B41" s="75"/>
      <c r="C41" s="16"/>
      <c r="D41" s="40"/>
      <c r="E41" s="17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K41" s="57"/>
    </row>
    <row r="42" spans="1:63" s="25" customFormat="1" ht="12.75">
      <c r="A42" s="47" t="s">
        <v>69</v>
      </c>
      <c r="B42" s="87" t="s">
        <v>83</v>
      </c>
      <c r="C42" s="16">
        <f>SUM(D42:BH42)</f>
        <v>3661131.7199999997</v>
      </c>
      <c r="D42" s="42">
        <f aca="true" t="shared" si="10" ref="D42:AI42">SUM(D44:D47)</f>
        <v>103408</v>
      </c>
      <c r="E42" s="42">
        <f t="shared" si="10"/>
        <v>107407.61</v>
      </c>
      <c r="F42" s="42">
        <f t="shared" si="10"/>
        <v>153699</v>
      </c>
      <c r="G42" s="42">
        <f t="shared" si="10"/>
        <v>191083.77000000328</v>
      </c>
      <c r="H42" s="42">
        <f t="shared" si="10"/>
        <v>185232.44</v>
      </c>
      <c r="I42" s="42">
        <f t="shared" si="10"/>
        <v>81294.32</v>
      </c>
      <c r="J42" s="42">
        <f t="shared" si="10"/>
        <v>81761.9</v>
      </c>
      <c r="K42" s="42">
        <f t="shared" si="10"/>
        <v>568445.6099999994</v>
      </c>
      <c r="L42" s="42">
        <f t="shared" si="10"/>
        <v>231371</v>
      </c>
      <c r="M42" s="42">
        <f t="shared" si="10"/>
        <v>162270.24</v>
      </c>
      <c r="N42" s="42">
        <f t="shared" si="10"/>
        <v>143032.41</v>
      </c>
      <c r="O42" s="42">
        <f t="shared" si="10"/>
        <v>104210.07999999821</v>
      </c>
      <c r="P42" s="42">
        <f t="shared" si="10"/>
        <v>244484.28999999998</v>
      </c>
      <c r="Q42" s="42">
        <f t="shared" si="10"/>
        <v>130271.01</v>
      </c>
      <c r="R42" s="42">
        <f t="shared" si="10"/>
        <v>43759.25</v>
      </c>
      <c r="S42" s="42">
        <f t="shared" si="10"/>
        <v>274169.05</v>
      </c>
      <c r="T42" s="42">
        <f t="shared" si="10"/>
        <v>26389</v>
      </c>
      <c r="U42" s="42">
        <f t="shared" si="10"/>
        <v>96116.13</v>
      </c>
      <c r="V42" s="42">
        <f t="shared" si="10"/>
        <v>25884</v>
      </c>
      <c r="W42" s="42">
        <f t="shared" si="10"/>
        <v>68637.25</v>
      </c>
      <c r="X42" s="42">
        <f t="shared" si="10"/>
        <v>34234.68000000001</v>
      </c>
      <c r="Y42" s="42">
        <f t="shared" si="10"/>
        <v>43645.75</v>
      </c>
      <c r="Z42" s="42">
        <f t="shared" si="10"/>
        <v>22618.75</v>
      </c>
      <c r="AA42" s="42">
        <f t="shared" si="10"/>
        <v>0</v>
      </c>
      <c r="AB42" s="42">
        <f t="shared" si="10"/>
        <v>0</v>
      </c>
      <c r="AC42" s="42">
        <f t="shared" si="10"/>
        <v>95047.75</v>
      </c>
      <c r="AD42" s="42">
        <f t="shared" si="10"/>
        <v>0</v>
      </c>
      <c r="AE42" s="42">
        <f t="shared" si="10"/>
        <v>3695</v>
      </c>
      <c r="AF42" s="42">
        <f t="shared" si="10"/>
        <v>0</v>
      </c>
      <c r="AG42" s="42">
        <f t="shared" si="10"/>
        <v>832.5</v>
      </c>
      <c r="AH42" s="42">
        <f t="shared" si="10"/>
        <v>25927.25</v>
      </c>
      <c r="AI42" s="42">
        <f t="shared" si="10"/>
        <v>37740.25</v>
      </c>
      <c r="AJ42" s="42">
        <f aca="true" t="shared" si="11" ref="AJ42:BH42">SUM(AJ44:AJ47)</f>
        <v>108.50000000005821</v>
      </c>
      <c r="AK42" s="42">
        <f t="shared" si="11"/>
        <v>75</v>
      </c>
      <c r="AL42" s="42">
        <f t="shared" si="11"/>
        <v>0</v>
      </c>
      <c r="AM42" s="42">
        <f t="shared" si="11"/>
        <v>0</v>
      </c>
      <c r="AN42" s="42">
        <f t="shared" si="11"/>
        <v>25467</v>
      </c>
      <c r="AO42" s="42">
        <f t="shared" si="11"/>
        <v>17782.25</v>
      </c>
      <c r="AP42" s="42">
        <f t="shared" si="11"/>
        <v>177047.67</v>
      </c>
      <c r="AQ42" s="42">
        <f t="shared" si="11"/>
        <v>75</v>
      </c>
      <c r="AR42" s="42">
        <f t="shared" si="11"/>
        <v>2326.25</v>
      </c>
      <c r="AS42" s="42">
        <f t="shared" si="11"/>
        <v>160.69999999925494</v>
      </c>
      <c r="AT42" s="42">
        <f t="shared" si="11"/>
        <v>0</v>
      </c>
      <c r="AU42" s="42">
        <f t="shared" si="11"/>
        <v>39940</v>
      </c>
      <c r="AV42" s="42">
        <f t="shared" si="11"/>
        <v>733.75</v>
      </c>
      <c r="AW42" s="42">
        <f t="shared" si="11"/>
        <v>50</v>
      </c>
      <c r="AX42" s="42">
        <f t="shared" si="11"/>
        <v>1297</v>
      </c>
      <c r="AY42" s="42">
        <f t="shared" si="11"/>
        <v>565.75</v>
      </c>
      <c r="AZ42" s="42">
        <f t="shared" si="11"/>
        <v>34728</v>
      </c>
      <c r="BA42" s="42">
        <f t="shared" si="11"/>
        <v>68.48</v>
      </c>
      <c r="BB42" s="42">
        <f t="shared" si="11"/>
        <v>15</v>
      </c>
      <c r="BC42" s="42">
        <f t="shared" si="11"/>
        <v>18879.999999999767</v>
      </c>
      <c r="BD42" s="42">
        <f t="shared" si="11"/>
        <v>1127.25</v>
      </c>
      <c r="BE42" s="42">
        <f t="shared" si="11"/>
        <v>42515.83</v>
      </c>
      <c r="BF42" s="42">
        <f t="shared" si="11"/>
        <v>0</v>
      </c>
      <c r="BG42" s="42">
        <f t="shared" si="11"/>
        <v>11500</v>
      </c>
      <c r="BH42" s="42">
        <f t="shared" si="11"/>
        <v>0</v>
      </c>
      <c r="BK42" s="57"/>
    </row>
    <row r="43" spans="1:63" s="25" customFormat="1" ht="12.75">
      <c r="A43" s="47"/>
      <c r="B43" s="91" t="s">
        <v>86</v>
      </c>
      <c r="C43" s="16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K43" s="57"/>
    </row>
    <row r="44" spans="1:63" ht="12.75">
      <c r="A44" s="39"/>
      <c r="B44" s="75" t="s">
        <v>99</v>
      </c>
      <c r="C44" s="16">
        <f>SUM(D44:BH44)</f>
        <v>2751591.3200000003</v>
      </c>
      <c r="D44" s="40">
        <v>90918</v>
      </c>
      <c r="E44" s="17">
        <f>2974951.9-2951345.9</f>
        <v>23606</v>
      </c>
      <c r="F44" s="40">
        <v>102598</v>
      </c>
      <c r="G44" s="40">
        <f>24189409.67-23999745.9</f>
        <v>189663.77000000328</v>
      </c>
      <c r="H44" s="40">
        <v>100180</v>
      </c>
      <c r="I44" s="40">
        <v>26579.32</v>
      </c>
      <c r="J44" s="40">
        <v>68438</v>
      </c>
      <c r="K44" s="40">
        <f>8438815.86-8000000</f>
        <v>438815.8599999994</v>
      </c>
      <c r="L44" s="40">
        <f>11264943.2-1537925.2-9502580</f>
        <v>224438</v>
      </c>
      <c r="M44" s="40">
        <v>133985</v>
      </c>
      <c r="N44" s="40">
        <v>110793</v>
      </c>
      <c r="O44" s="40">
        <f>18890084.06-18807221.48</f>
        <v>82862.57999999821</v>
      </c>
      <c r="P44" s="40">
        <v>141248.05</v>
      </c>
      <c r="Q44" s="40">
        <f>2600786.56-2494116.56</f>
        <v>106670</v>
      </c>
      <c r="R44" s="40">
        <v>29919.5</v>
      </c>
      <c r="S44" s="40">
        <v>273259.8</v>
      </c>
      <c r="T44" s="40">
        <v>26194</v>
      </c>
      <c r="U44" s="40">
        <v>95940</v>
      </c>
      <c r="V44" s="40">
        <f>34853173.13-34833039.13</f>
        <v>20134</v>
      </c>
      <c r="W44" s="40">
        <v>68156</v>
      </c>
      <c r="X44" s="40">
        <f>102349.8-71183.87</f>
        <v>31165.930000000008</v>
      </c>
      <c r="Y44" s="40">
        <f>4960196-4923738</f>
        <v>36458</v>
      </c>
      <c r="Z44" s="40">
        <v>22500</v>
      </c>
      <c r="AA44" s="40"/>
      <c r="AB44" s="40">
        <f>10000000-10000000</f>
        <v>0</v>
      </c>
      <c r="AC44" s="40">
        <v>85631</v>
      </c>
      <c r="AD44" s="40">
        <f>6267802-6267802</f>
        <v>0</v>
      </c>
      <c r="AE44" s="40">
        <v>2840</v>
      </c>
      <c r="AF44" s="40"/>
      <c r="AG44" s="40"/>
      <c r="AH44" s="40">
        <v>25019</v>
      </c>
      <c r="AI44" s="40">
        <f>796637.5-760016</f>
        <v>36621.5</v>
      </c>
      <c r="AJ44" s="40">
        <f>1490511.3-1144004.74-346456.56</f>
        <v>50.00000000005821</v>
      </c>
      <c r="AK44" s="40"/>
      <c r="AL44" s="40"/>
      <c r="AM44" s="40">
        <f>3171199-3171199</f>
        <v>0</v>
      </c>
      <c r="AN44" s="40">
        <f>3687954.8-3663894.8</f>
        <v>24060</v>
      </c>
      <c r="AO44" s="40">
        <f>531353-349245-182108</f>
        <v>0</v>
      </c>
      <c r="AP44" s="40">
        <v>20000</v>
      </c>
      <c r="AQ44" s="40"/>
      <c r="AR44" s="40">
        <f>86095-86095</f>
        <v>0</v>
      </c>
      <c r="AS44" s="40">
        <f>10235814.77-10235654.07</f>
        <v>160.69999999925494</v>
      </c>
      <c r="AT44" s="40"/>
      <c r="AU44" s="40">
        <f>6149907.1-6109967.1</f>
        <v>39940</v>
      </c>
      <c r="AV44" s="40"/>
      <c r="AW44" s="40">
        <f>4651208-4651208</f>
        <v>0</v>
      </c>
      <c r="AX44" s="40">
        <v>497</v>
      </c>
      <c r="AY44" s="40"/>
      <c r="AZ44" s="40"/>
      <c r="BA44" s="40">
        <v>68.48</v>
      </c>
      <c r="BB44" s="40"/>
      <c r="BC44" s="40">
        <f>2400200.55-2081320.55-300000</f>
        <v>18879.999999999767</v>
      </c>
      <c r="BD44" s="40"/>
      <c r="BE44" s="40">
        <v>41830.83</v>
      </c>
      <c r="BF44" s="40">
        <f>4429385-4429385</f>
        <v>0</v>
      </c>
      <c r="BG44" s="40">
        <f>3642420-3630950</f>
        <v>11470</v>
      </c>
      <c r="BH44" s="40"/>
      <c r="BK44" s="57"/>
    </row>
    <row r="45" spans="1:63" ht="12.75">
      <c r="A45" s="39"/>
      <c r="B45" s="92" t="s">
        <v>101</v>
      </c>
      <c r="C45" s="16">
        <f>SUM(D45:BH45)</f>
        <v>164567.92</v>
      </c>
      <c r="D45" s="40"/>
      <c r="E45" s="17"/>
      <c r="F45" s="40"/>
      <c r="G45" s="40"/>
      <c r="H45" s="40"/>
      <c r="I45" s="40"/>
      <c r="J45" s="40"/>
      <c r="K45" s="40">
        <f>9095282.8-9095282.8</f>
        <v>0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>
        <f>218290.8-218290.8</f>
        <v>0</v>
      </c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>
        <f>2717921.71-2623494.96-85699</f>
        <v>8727.75</v>
      </c>
      <c r="AP45" s="40">
        <v>155840.17</v>
      </c>
      <c r="AQ45" s="40"/>
      <c r="AR45" s="40"/>
      <c r="AS45" s="40"/>
      <c r="AT45" s="40"/>
      <c r="AU45" s="40">
        <f>103353.99-103353.99</f>
        <v>0</v>
      </c>
      <c r="AV45" s="40"/>
      <c r="AW45" s="40"/>
      <c r="AX45" s="40"/>
      <c r="AY45" s="40"/>
      <c r="AZ45" s="40"/>
      <c r="BA45" s="40">
        <f>2162312-2162312</f>
        <v>0</v>
      </c>
      <c r="BB45" s="40"/>
      <c r="BC45" s="40">
        <f>465604.54-313548.44-152056.1</f>
        <v>0</v>
      </c>
      <c r="BD45" s="40"/>
      <c r="BE45" s="40"/>
      <c r="BF45" s="40"/>
      <c r="BG45" s="40"/>
      <c r="BH45" s="40"/>
      <c r="BK45" s="57"/>
    </row>
    <row r="46" spans="1:63" s="63" customFormat="1" ht="25.5">
      <c r="A46" s="60"/>
      <c r="B46" s="93" t="s">
        <v>100</v>
      </c>
      <c r="C46" s="16">
        <f>SUM(D46:BH46)</f>
        <v>0</v>
      </c>
      <c r="D46" s="61"/>
      <c r="E46" s="62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K46" s="57"/>
    </row>
    <row r="47" spans="1:63" ht="12.75">
      <c r="A47" s="39"/>
      <c r="B47" s="90" t="s">
        <v>78</v>
      </c>
      <c r="C47" s="16">
        <f>SUM(D47:BH47)</f>
        <v>744972.48</v>
      </c>
      <c r="D47" s="40">
        <v>12490</v>
      </c>
      <c r="E47" s="17">
        <v>83801.61</v>
      </c>
      <c r="F47" s="40">
        <v>51101</v>
      </c>
      <c r="G47" s="40">
        <v>1420</v>
      </c>
      <c r="H47" s="40">
        <v>85052.44</v>
      </c>
      <c r="I47" s="40">
        <v>54715</v>
      </c>
      <c r="J47" s="40">
        <v>13323.9</v>
      </c>
      <c r="K47" s="40">
        <v>129629.75</v>
      </c>
      <c r="L47" s="40">
        <v>6933</v>
      </c>
      <c r="M47" s="40">
        <v>28285.24</v>
      </c>
      <c r="N47" s="40">
        <v>32239.41</v>
      </c>
      <c r="O47" s="40">
        <v>21347.5</v>
      </c>
      <c r="P47" s="40">
        <v>103236.24</v>
      </c>
      <c r="Q47" s="40">
        <v>23601.01</v>
      </c>
      <c r="R47" s="40">
        <v>13839.75</v>
      </c>
      <c r="S47" s="40">
        <v>909.25</v>
      </c>
      <c r="T47" s="40">
        <v>195</v>
      </c>
      <c r="U47" s="40">
        <v>176.13</v>
      </c>
      <c r="V47" s="40">
        <v>5750</v>
      </c>
      <c r="W47" s="40">
        <v>481.25</v>
      </c>
      <c r="X47" s="40">
        <v>3068.75</v>
      </c>
      <c r="Y47" s="40">
        <v>7187.75</v>
      </c>
      <c r="Z47" s="40">
        <v>118.75</v>
      </c>
      <c r="AA47" s="40"/>
      <c r="AB47" s="40"/>
      <c r="AC47" s="40">
        <v>9416.75</v>
      </c>
      <c r="AD47" s="40"/>
      <c r="AE47" s="40">
        <v>855</v>
      </c>
      <c r="AF47" s="40"/>
      <c r="AG47" s="40">
        <v>832.5</v>
      </c>
      <c r="AH47" s="40">
        <v>908.25</v>
      </c>
      <c r="AI47" s="40">
        <v>1118.75</v>
      </c>
      <c r="AJ47" s="40">
        <v>58.5</v>
      </c>
      <c r="AK47" s="40">
        <v>75</v>
      </c>
      <c r="AL47" s="40"/>
      <c r="AM47" s="40"/>
      <c r="AN47" s="40">
        <v>1407</v>
      </c>
      <c r="AO47" s="40">
        <v>9054.5</v>
      </c>
      <c r="AP47" s="40">
        <v>1207.5</v>
      </c>
      <c r="AQ47" s="40">
        <v>75</v>
      </c>
      <c r="AR47" s="40">
        <v>2326.25</v>
      </c>
      <c r="AS47" s="40"/>
      <c r="AT47" s="40"/>
      <c r="AU47" s="40"/>
      <c r="AV47" s="40">
        <v>733.75</v>
      </c>
      <c r="AW47" s="40">
        <v>50</v>
      </c>
      <c r="AX47" s="40">
        <v>800</v>
      </c>
      <c r="AY47" s="40">
        <v>565.75</v>
      </c>
      <c r="AZ47" s="40">
        <v>34728</v>
      </c>
      <c r="BA47" s="40"/>
      <c r="BB47" s="40">
        <v>15</v>
      </c>
      <c r="BC47" s="40"/>
      <c r="BD47" s="40">
        <v>1127.25</v>
      </c>
      <c r="BE47" s="40">
        <v>685</v>
      </c>
      <c r="BF47" s="40"/>
      <c r="BG47" s="40">
        <v>30</v>
      </c>
      <c r="BH47" s="40"/>
      <c r="BK47" s="57"/>
    </row>
    <row r="48" spans="1:63" ht="13.5" thickBot="1">
      <c r="A48" s="15"/>
      <c r="B48" s="75"/>
      <c r="C48" s="16"/>
      <c r="D48" s="40"/>
      <c r="E48" s="17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K48" s="57"/>
    </row>
    <row r="49" spans="1:63" s="35" customFormat="1" ht="14.25" thickBot="1" thickTop="1">
      <c r="A49" s="48" t="s">
        <v>70</v>
      </c>
      <c r="B49" s="94" t="s">
        <v>71</v>
      </c>
      <c r="C49" s="49">
        <f>SUM(D49:BH49)</f>
        <v>7370169.7</v>
      </c>
      <c r="D49" s="49">
        <f aca="true" t="shared" si="12" ref="D49:AI49">SUM(D33,D42)</f>
        <v>103408</v>
      </c>
      <c r="E49" s="49">
        <f t="shared" si="12"/>
        <v>122883.51000000001</v>
      </c>
      <c r="F49" s="49">
        <f t="shared" si="12"/>
        <v>167799</v>
      </c>
      <c r="G49" s="49">
        <f t="shared" si="12"/>
        <v>191083.77000000328</v>
      </c>
      <c r="H49" s="49">
        <f t="shared" si="12"/>
        <v>185232.44</v>
      </c>
      <c r="I49" s="49">
        <f t="shared" si="12"/>
        <v>1468187.21</v>
      </c>
      <c r="J49" s="49">
        <f t="shared" si="12"/>
        <v>81761.9</v>
      </c>
      <c r="K49" s="49">
        <f t="shared" si="12"/>
        <v>1142545.0899999994</v>
      </c>
      <c r="L49" s="49">
        <f t="shared" si="12"/>
        <v>231371</v>
      </c>
      <c r="M49" s="49">
        <f t="shared" si="12"/>
        <v>268160.91</v>
      </c>
      <c r="N49" s="49">
        <f t="shared" si="12"/>
        <v>543925.84</v>
      </c>
      <c r="O49" s="49">
        <f t="shared" si="12"/>
        <v>330549.7999999982</v>
      </c>
      <c r="P49" s="49">
        <f t="shared" si="12"/>
        <v>433626.15</v>
      </c>
      <c r="Q49" s="49">
        <f t="shared" si="12"/>
        <v>190232.01</v>
      </c>
      <c r="R49" s="49">
        <f t="shared" si="12"/>
        <v>43759.25</v>
      </c>
      <c r="S49" s="49">
        <f t="shared" si="12"/>
        <v>279751.62</v>
      </c>
      <c r="T49" s="49">
        <f t="shared" si="12"/>
        <v>130221.37</v>
      </c>
      <c r="U49" s="49">
        <f t="shared" si="12"/>
        <v>112675.53</v>
      </c>
      <c r="V49" s="49">
        <f t="shared" si="12"/>
        <v>29884</v>
      </c>
      <c r="W49" s="49">
        <f t="shared" si="12"/>
        <v>68637.25</v>
      </c>
      <c r="X49" s="49">
        <f t="shared" si="12"/>
        <v>39481.68000000001</v>
      </c>
      <c r="Y49" s="49">
        <f t="shared" si="12"/>
        <v>43645.75</v>
      </c>
      <c r="Z49" s="49">
        <f t="shared" si="12"/>
        <v>22618.75</v>
      </c>
      <c r="AA49" s="49">
        <f t="shared" si="12"/>
        <v>26300</v>
      </c>
      <c r="AB49" s="49">
        <f t="shared" si="12"/>
        <v>0</v>
      </c>
      <c r="AC49" s="49">
        <f t="shared" si="12"/>
        <v>116415.64</v>
      </c>
      <c r="AD49" s="49">
        <f t="shared" si="12"/>
        <v>1192.63</v>
      </c>
      <c r="AE49" s="49">
        <f t="shared" si="12"/>
        <v>3695</v>
      </c>
      <c r="AF49" s="49">
        <f t="shared" si="12"/>
        <v>0</v>
      </c>
      <c r="AG49" s="49">
        <f t="shared" si="12"/>
        <v>77211.86</v>
      </c>
      <c r="AH49" s="49">
        <f t="shared" si="12"/>
        <v>25927.25</v>
      </c>
      <c r="AI49" s="49">
        <f t="shared" si="12"/>
        <v>37740.25</v>
      </c>
      <c r="AJ49" s="49">
        <f aca="true" t="shared" si="13" ref="AJ49:BH49">SUM(AJ33,AJ42)</f>
        <v>108.50000000005821</v>
      </c>
      <c r="AK49" s="49">
        <f t="shared" si="13"/>
        <v>2920</v>
      </c>
      <c r="AL49" s="49">
        <f t="shared" si="13"/>
        <v>32270.8</v>
      </c>
      <c r="AM49" s="49">
        <f t="shared" si="13"/>
        <v>0</v>
      </c>
      <c r="AN49" s="49">
        <f t="shared" si="13"/>
        <v>67015.6</v>
      </c>
      <c r="AO49" s="49">
        <f t="shared" si="13"/>
        <v>131669.25</v>
      </c>
      <c r="AP49" s="49">
        <f t="shared" si="13"/>
        <v>177619.67</v>
      </c>
      <c r="AQ49" s="49">
        <f t="shared" si="13"/>
        <v>4775</v>
      </c>
      <c r="AR49" s="49">
        <f t="shared" si="13"/>
        <v>16930.25</v>
      </c>
      <c r="AS49" s="49">
        <f t="shared" si="13"/>
        <v>29984.199999999255</v>
      </c>
      <c r="AT49" s="49">
        <f t="shared" si="13"/>
        <v>9688</v>
      </c>
      <c r="AU49" s="49">
        <f t="shared" si="13"/>
        <v>39940</v>
      </c>
      <c r="AV49" s="49">
        <f t="shared" si="13"/>
        <v>29759.75</v>
      </c>
      <c r="AW49" s="49">
        <f t="shared" si="13"/>
        <v>38817.36</v>
      </c>
      <c r="AX49" s="49">
        <f t="shared" si="13"/>
        <v>1297</v>
      </c>
      <c r="AY49" s="49">
        <f t="shared" si="13"/>
        <v>2207.61</v>
      </c>
      <c r="AZ49" s="49">
        <f t="shared" si="13"/>
        <v>53811.67</v>
      </c>
      <c r="BA49" s="49">
        <f t="shared" si="13"/>
        <v>76.48</v>
      </c>
      <c r="BB49" s="49">
        <f t="shared" si="13"/>
        <v>13681</v>
      </c>
      <c r="BC49" s="49">
        <f t="shared" si="13"/>
        <v>53714.49999999977</v>
      </c>
      <c r="BD49" s="49">
        <f t="shared" si="13"/>
        <v>1127.25</v>
      </c>
      <c r="BE49" s="49">
        <f t="shared" si="13"/>
        <v>99459.83</v>
      </c>
      <c r="BF49" s="49">
        <f t="shared" si="13"/>
        <v>21846.1</v>
      </c>
      <c r="BG49" s="49">
        <f t="shared" si="13"/>
        <v>12469.72</v>
      </c>
      <c r="BH49" s="49">
        <f t="shared" si="13"/>
        <v>9055.7</v>
      </c>
      <c r="BK49" s="57"/>
    </row>
    <row r="50" spans="1:63" s="38" customFormat="1" ht="14.25" thickBot="1" thickTop="1">
      <c r="A50" s="50" t="s">
        <v>72</v>
      </c>
      <c r="B50" s="95" t="s">
        <v>73</v>
      </c>
      <c r="C50" s="51">
        <f>SUM(D50:BH50)</f>
        <v>95536170.50999998</v>
      </c>
      <c r="D50" s="51">
        <f aca="true" t="shared" si="14" ref="D50:AI50">D29-D49</f>
        <v>-103408</v>
      </c>
      <c r="E50" s="51">
        <f t="shared" si="14"/>
        <v>-122883.51000000001</v>
      </c>
      <c r="F50" s="51">
        <f t="shared" si="14"/>
        <v>2723771.63</v>
      </c>
      <c r="G50" s="51">
        <f t="shared" si="14"/>
        <v>1206978.9699999967</v>
      </c>
      <c r="H50" s="51">
        <f t="shared" si="14"/>
        <v>34715813.940000005</v>
      </c>
      <c r="I50" s="51">
        <f t="shared" si="14"/>
        <v>-1263537.76</v>
      </c>
      <c r="J50" s="51">
        <f t="shared" si="14"/>
        <v>685004.96</v>
      </c>
      <c r="K50" s="51">
        <f t="shared" si="14"/>
        <v>3389893.810000001</v>
      </c>
      <c r="L50" s="51">
        <f t="shared" si="14"/>
        <v>1831746.11</v>
      </c>
      <c r="M50" s="51">
        <f t="shared" si="14"/>
        <v>51287127.760000005</v>
      </c>
      <c r="N50" s="51">
        <f t="shared" si="14"/>
        <v>-404352.48</v>
      </c>
      <c r="O50" s="51">
        <f t="shared" si="14"/>
        <v>1127751.600000002</v>
      </c>
      <c r="P50" s="51">
        <f t="shared" si="14"/>
        <v>-433626.15</v>
      </c>
      <c r="Q50" s="51">
        <f t="shared" si="14"/>
        <v>1040500.3200000001</v>
      </c>
      <c r="R50" s="51">
        <f t="shared" si="14"/>
        <v>427617.99</v>
      </c>
      <c r="S50" s="51">
        <f t="shared" si="14"/>
        <v>-226180.1</v>
      </c>
      <c r="T50" s="51">
        <f t="shared" si="14"/>
        <v>-81036.09</v>
      </c>
      <c r="U50" s="51">
        <f t="shared" si="14"/>
        <v>-12047.529999999999</v>
      </c>
      <c r="V50" s="51">
        <f t="shared" si="14"/>
        <v>194672.5</v>
      </c>
      <c r="W50" s="51">
        <f t="shared" si="14"/>
        <v>333539.35</v>
      </c>
      <c r="X50" s="51">
        <f t="shared" si="14"/>
        <v>-39481.68000000001</v>
      </c>
      <c r="Y50" s="51">
        <f t="shared" si="14"/>
        <v>-43645.75</v>
      </c>
      <c r="Z50" s="51">
        <f t="shared" si="14"/>
        <v>-21355.45</v>
      </c>
      <c r="AA50" s="51">
        <f t="shared" si="14"/>
        <v>-26300</v>
      </c>
      <c r="AB50" s="51">
        <f t="shared" si="14"/>
        <v>10020</v>
      </c>
      <c r="AC50" s="51">
        <f t="shared" si="14"/>
        <v>-116415.64</v>
      </c>
      <c r="AD50" s="51">
        <f t="shared" si="14"/>
        <v>2392.64</v>
      </c>
      <c r="AE50" s="51">
        <f t="shared" si="14"/>
        <v>-3695</v>
      </c>
      <c r="AF50" s="51">
        <f t="shared" si="14"/>
        <v>5754</v>
      </c>
      <c r="AG50" s="51">
        <f t="shared" si="14"/>
        <v>-77211.86</v>
      </c>
      <c r="AH50" s="51">
        <f t="shared" si="14"/>
        <v>45818.75</v>
      </c>
      <c r="AI50" s="51">
        <f t="shared" si="14"/>
        <v>-37740.25</v>
      </c>
      <c r="AJ50" s="51">
        <f aca="true" t="shared" si="15" ref="AJ50:BH50">AJ29-AJ49</f>
        <v>11313.499999999942</v>
      </c>
      <c r="AK50" s="51">
        <f t="shared" si="15"/>
        <v>2337</v>
      </c>
      <c r="AL50" s="51">
        <f t="shared" si="15"/>
        <v>-32270.8</v>
      </c>
      <c r="AM50" s="51">
        <f t="shared" si="15"/>
        <v>0</v>
      </c>
      <c r="AN50" s="51">
        <f t="shared" si="15"/>
        <v>-67015.6</v>
      </c>
      <c r="AO50" s="51">
        <f t="shared" si="15"/>
        <v>-115563.06</v>
      </c>
      <c r="AP50" s="51">
        <f t="shared" si="15"/>
        <v>-169753.67</v>
      </c>
      <c r="AQ50" s="51">
        <f t="shared" si="15"/>
        <v>-4775</v>
      </c>
      <c r="AR50" s="51">
        <f t="shared" si="15"/>
        <v>-16930.25</v>
      </c>
      <c r="AS50" s="51">
        <f t="shared" si="15"/>
        <v>-29984.199999999255</v>
      </c>
      <c r="AT50" s="51">
        <f t="shared" si="15"/>
        <v>-9688</v>
      </c>
      <c r="AU50" s="51">
        <f t="shared" si="15"/>
        <v>104284.54999999999</v>
      </c>
      <c r="AV50" s="51">
        <f t="shared" si="15"/>
        <v>-10726.75</v>
      </c>
      <c r="AW50" s="51">
        <f t="shared" si="15"/>
        <v>-38817.36</v>
      </c>
      <c r="AX50" s="51">
        <f t="shared" si="15"/>
        <v>17499</v>
      </c>
      <c r="AY50" s="51">
        <f t="shared" si="15"/>
        <v>-2207.61</v>
      </c>
      <c r="AZ50" s="51">
        <f t="shared" si="15"/>
        <v>-53811.67</v>
      </c>
      <c r="BA50" s="51">
        <f t="shared" si="15"/>
        <v>859.52</v>
      </c>
      <c r="BB50" s="51">
        <f t="shared" si="15"/>
        <v>-7183</v>
      </c>
      <c r="BC50" s="51">
        <f t="shared" si="15"/>
        <v>-53714.49999999977</v>
      </c>
      <c r="BD50" s="51">
        <f t="shared" si="15"/>
        <v>34000.75</v>
      </c>
      <c r="BE50" s="51">
        <f t="shared" si="15"/>
        <v>-99459.83</v>
      </c>
      <c r="BF50" s="51">
        <f t="shared" si="15"/>
        <v>-21846.1</v>
      </c>
      <c r="BG50" s="51">
        <f t="shared" si="15"/>
        <v>57910.20999999999</v>
      </c>
      <c r="BH50" s="51">
        <f t="shared" si="15"/>
        <v>26226.3</v>
      </c>
      <c r="BK50" s="57"/>
    </row>
    <row r="51" ht="13.5" thickTop="1">
      <c r="AW51" s="3"/>
    </row>
    <row r="52" spans="3:49" ht="12.75" hidden="1">
      <c r="C52" s="3">
        <f>SUM(C36:C39)</f>
        <v>3186720.9400000004</v>
      </c>
      <c r="AW52" s="3"/>
    </row>
    <row r="53" ht="12.75" hidden="1"/>
    <row r="54" spans="2:60" ht="12.75" hidden="1">
      <c r="B54" s="96" t="s">
        <v>84</v>
      </c>
      <c r="C54" s="59">
        <f aca="true" t="shared" si="16" ref="C54:AH54">SUM(C36:C39)</f>
        <v>3186720.9400000004</v>
      </c>
      <c r="D54" s="59">
        <f t="shared" si="16"/>
        <v>0</v>
      </c>
      <c r="E54" s="59">
        <f t="shared" si="16"/>
        <v>15475.900000000001</v>
      </c>
      <c r="F54" s="59">
        <f t="shared" si="16"/>
        <v>0</v>
      </c>
      <c r="G54" s="59">
        <f t="shared" si="16"/>
        <v>0</v>
      </c>
      <c r="H54" s="59">
        <f t="shared" si="16"/>
        <v>0</v>
      </c>
      <c r="I54" s="59">
        <f t="shared" si="16"/>
        <v>1176986.95</v>
      </c>
      <c r="J54" s="59">
        <f t="shared" si="16"/>
        <v>0</v>
      </c>
      <c r="K54" s="59">
        <f t="shared" si="16"/>
        <v>482674.82</v>
      </c>
      <c r="L54" s="59">
        <f t="shared" si="16"/>
        <v>0</v>
      </c>
      <c r="M54" s="59">
        <f t="shared" si="16"/>
        <v>104716.83</v>
      </c>
      <c r="N54" s="59">
        <f t="shared" si="16"/>
        <v>400893.43</v>
      </c>
      <c r="O54" s="59">
        <f t="shared" si="16"/>
        <v>221814.72</v>
      </c>
      <c r="P54" s="59">
        <f t="shared" si="16"/>
        <v>179140.86000000002</v>
      </c>
      <c r="Q54" s="59">
        <f t="shared" si="16"/>
        <v>0</v>
      </c>
      <c r="R54" s="59">
        <f t="shared" si="16"/>
        <v>0</v>
      </c>
      <c r="S54" s="59">
        <f t="shared" si="16"/>
        <v>396.97</v>
      </c>
      <c r="T54" s="59">
        <f t="shared" si="16"/>
        <v>103832.37</v>
      </c>
      <c r="U54" s="59">
        <f t="shared" si="16"/>
        <v>16559.4</v>
      </c>
      <c r="V54" s="59">
        <f t="shared" si="16"/>
        <v>0</v>
      </c>
      <c r="W54" s="59">
        <f t="shared" si="16"/>
        <v>0</v>
      </c>
      <c r="X54" s="59">
        <f t="shared" si="16"/>
        <v>1794</v>
      </c>
      <c r="Y54" s="59">
        <f t="shared" si="16"/>
        <v>0</v>
      </c>
      <c r="Z54" s="59">
        <f t="shared" si="16"/>
        <v>0</v>
      </c>
      <c r="AA54" s="59">
        <f t="shared" si="16"/>
        <v>26300</v>
      </c>
      <c r="AB54" s="59">
        <f t="shared" si="16"/>
        <v>0</v>
      </c>
      <c r="AC54" s="59">
        <f t="shared" si="16"/>
        <v>21367.89</v>
      </c>
      <c r="AD54" s="59">
        <f t="shared" si="16"/>
        <v>1192.63</v>
      </c>
      <c r="AE54" s="59">
        <f t="shared" si="16"/>
        <v>0</v>
      </c>
      <c r="AF54" s="59">
        <f t="shared" si="16"/>
        <v>0</v>
      </c>
      <c r="AG54" s="59">
        <f t="shared" si="16"/>
        <v>76379.36</v>
      </c>
      <c r="AH54" s="59">
        <f t="shared" si="16"/>
        <v>0</v>
      </c>
      <c r="AI54" s="59">
        <f aca="true" t="shared" si="17" ref="AI54:BH54">SUM(AI36:AI39)</f>
        <v>0</v>
      </c>
      <c r="AJ54" s="59">
        <f t="shared" si="17"/>
        <v>0</v>
      </c>
      <c r="AK54" s="59">
        <f t="shared" si="17"/>
        <v>2845</v>
      </c>
      <c r="AL54" s="59">
        <f t="shared" si="17"/>
        <v>32270.8</v>
      </c>
      <c r="AM54" s="59">
        <f t="shared" si="17"/>
        <v>0</v>
      </c>
      <c r="AN54" s="59">
        <f t="shared" si="17"/>
        <v>41548.6</v>
      </c>
      <c r="AO54" s="59">
        <f t="shared" si="17"/>
        <v>0</v>
      </c>
      <c r="AP54" s="59">
        <f t="shared" si="17"/>
        <v>572</v>
      </c>
      <c r="AQ54" s="59">
        <f t="shared" si="17"/>
        <v>0</v>
      </c>
      <c r="AR54" s="59">
        <f t="shared" si="17"/>
        <v>14604</v>
      </c>
      <c r="AS54" s="59">
        <f t="shared" si="17"/>
        <v>29823.5</v>
      </c>
      <c r="AT54" s="59">
        <f t="shared" si="17"/>
        <v>9688</v>
      </c>
      <c r="AU54" s="59">
        <f t="shared" si="17"/>
        <v>0</v>
      </c>
      <c r="AV54" s="59">
        <f t="shared" si="17"/>
        <v>29026</v>
      </c>
      <c r="AW54" s="59">
        <f t="shared" si="17"/>
        <v>38767.36</v>
      </c>
      <c r="AX54" s="59">
        <f t="shared" si="17"/>
        <v>0</v>
      </c>
      <c r="AY54" s="59">
        <f t="shared" si="17"/>
        <v>1641.8600000000001</v>
      </c>
      <c r="AZ54" s="59">
        <f t="shared" si="17"/>
        <v>19083.670000000002</v>
      </c>
      <c r="BA54" s="59">
        <f t="shared" si="17"/>
        <v>8</v>
      </c>
      <c r="BB54" s="59">
        <f t="shared" si="17"/>
        <v>13666</v>
      </c>
      <c r="BC54" s="59">
        <f t="shared" si="17"/>
        <v>34834.5</v>
      </c>
      <c r="BD54" s="59">
        <f t="shared" si="17"/>
        <v>0</v>
      </c>
      <c r="BE54" s="59">
        <f t="shared" si="17"/>
        <v>56944</v>
      </c>
      <c r="BF54" s="59">
        <f t="shared" si="17"/>
        <v>21846.1</v>
      </c>
      <c r="BG54" s="59">
        <f t="shared" si="17"/>
        <v>969.72</v>
      </c>
      <c r="BH54" s="59">
        <f t="shared" si="17"/>
        <v>9055.7</v>
      </c>
    </row>
    <row r="55" spans="2:60" ht="12.75" hidden="1">
      <c r="B55" s="96" t="s">
        <v>85</v>
      </c>
      <c r="C55" s="59">
        <f aca="true" t="shared" si="18" ref="C55:AH55">SUM(C35,C40)</f>
        <v>522317.04000000004</v>
      </c>
      <c r="D55" s="59">
        <f t="shared" si="18"/>
        <v>0</v>
      </c>
      <c r="E55" s="59">
        <f t="shared" si="18"/>
        <v>0</v>
      </c>
      <c r="F55" s="59">
        <f t="shared" si="18"/>
        <v>14100</v>
      </c>
      <c r="G55" s="59">
        <f t="shared" si="18"/>
        <v>0</v>
      </c>
      <c r="H55" s="59">
        <f t="shared" si="18"/>
        <v>0</v>
      </c>
      <c r="I55" s="59">
        <f t="shared" si="18"/>
        <v>209905.94</v>
      </c>
      <c r="J55" s="59">
        <f t="shared" si="18"/>
        <v>0</v>
      </c>
      <c r="K55" s="59">
        <f t="shared" si="18"/>
        <v>91424.66</v>
      </c>
      <c r="L55" s="59">
        <f t="shared" si="18"/>
        <v>0</v>
      </c>
      <c r="M55" s="59">
        <f t="shared" si="18"/>
        <v>1173.8400000000001</v>
      </c>
      <c r="N55" s="59">
        <f t="shared" si="18"/>
        <v>0</v>
      </c>
      <c r="O55" s="59">
        <f t="shared" si="18"/>
        <v>4525</v>
      </c>
      <c r="P55" s="59">
        <f t="shared" si="18"/>
        <v>10001</v>
      </c>
      <c r="Q55" s="59">
        <f t="shared" si="18"/>
        <v>59961</v>
      </c>
      <c r="R55" s="59">
        <f t="shared" si="18"/>
        <v>0</v>
      </c>
      <c r="S55" s="59">
        <f t="shared" si="18"/>
        <v>5185.6</v>
      </c>
      <c r="T55" s="59">
        <f t="shared" si="18"/>
        <v>0</v>
      </c>
      <c r="U55" s="59">
        <f t="shared" si="18"/>
        <v>0</v>
      </c>
      <c r="V55" s="59">
        <f t="shared" si="18"/>
        <v>4000</v>
      </c>
      <c r="W55" s="59">
        <f t="shared" si="18"/>
        <v>0</v>
      </c>
      <c r="X55" s="59">
        <f t="shared" si="18"/>
        <v>3453</v>
      </c>
      <c r="Y55" s="59">
        <f t="shared" si="18"/>
        <v>0</v>
      </c>
      <c r="Z55" s="59">
        <f t="shared" si="18"/>
        <v>0</v>
      </c>
      <c r="AA55" s="59">
        <f t="shared" si="18"/>
        <v>0</v>
      </c>
      <c r="AB55" s="59">
        <f t="shared" si="18"/>
        <v>0</v>
      </c>
      <c r="AC55" s="59">
        <f t="shared" si="18"/>
        <v>0</v>
      </c>
      <c r="AD55" s="59">
        <f t="shared" si="18"/>
        <v>0</v>
      </c>
      <c r="AE55" s="59">
        <f t="shared" si="18"/>
        <v>0</v>
      </c>
      <c r="AF55" s="59">
        <f t="shared" si="18"/>
        <v>0</v>
      </c>
      <c r="AG55" s="59">
        <f t="shared" si="18"/>
        <v>0</v>
      </c>
      <c r="AH55" s="59">
        <f t="shared" si="18"/>
        <v>0</v>
      </c>
      <c r="AI55" s="59">
        <f aca="true" t="shared" si="19" ref="AI55:BH55">SUM(AI35,AI40)</f>
        <v>0</v>
      </c>
      <c r="AJ55" s="59">
        <f t="shared" si="19"/>
        <v>0</v>
      </c>
      <c r="AK55" s="59">
        <f t="shared" si="19"/>
        <v>0</v>
      </c>
      <c r="AL55" s="59">
        <f t="shared" si="19"/>
        <v>0</v>
      </c>
      <c r="AM55" s="59">
        <f t="shared" si="19"/>
        <v>0</v>
      </c>
      <c r="AN55" s="59">
        <f t="shared" si="19"/>
        <v>0</v>
      </c>
      <c r="AO55" s="59">
        <f t="shared" si="19"/>
        <v>113887</v>
      </c>
      <c r="AP55" s="59">
        <f t="shared" si="19"/>
        <v>0</v>
      </c>
      <c r="AQ55" s="59">
        <f t="shared" si="19"/>
        <v>4700</v>
      </c>
      <c r="AR55" s="59">
        <f t="shared" si="19"/>
        <v>0</v>
      </c>
      <c r="AS55" s="59">
        <f t="shared" si="19"/>
        <v>0</v>
      </c>
      <c r="AT55" s="59">
        <f t="shared" si="19"/>
        <v>0</v>
      </c>
      <c r="AU55" s="59">
        <f t="shared" si="19"/>
        <v>0</v>
      </c>
      <c r="AV55" s="59">
        <f t="shared" si="19"/>
        <v>0</v>
      </c>
      <c r="AW55" s="59">
        <f t="shared" si="19"/>
        <v>0</v>
      </c>
      <c r="AX55" s="59">
        <f t="shared" si="19"/>
        <v>0</v>
      </c>
      <c r="AY55" s="59">
        <f t="shared" si="19"/>
        <v>0</v>
      </c>
      <c r="AZ55" s="59">
        <f t="shared" si="19"/>
        <v>0</v>
      </c>
      <c r="BA55" s="59">
        <f t="shared" si="19"/>
        <v>0</v>
      </c>
      <c r="BB55" s="59">
        <f t="shared" si="19"/>
        <v>0</v>
      </c>
      <c r="BC55" s="59">
        <f t="shared" si="19"/>
        <v>0</v>
      </c>
      <c r="BD55" s="59">
        <f t="shared" si="19"/>
        <v>0</v>
      </c>
      <c r="BE55" s="59">
        <f t="shared" si="19"/>
        <v>0</v>
      </c>
      <c r="BF55" s="59">
        <f t="shared" si="19"/>
        <v>0</v>
      </c>
      <c r="BG55" s="59">
        <f t="shared" si="19"/>
        <v>0</v>
      </c>
      <c r="BH55" s="59">
        <f t="shared" si="19"/>
        <v>0</v>
      </c>
    </row>
    <row r="56" ht="12.75" hidden="1"/>
    <row r="57" ht="12.75" hidden="1"/>
    <row r="58" spans="2:60" s="59" customFormat="1" ht="12.75" hidden="1">
      <c r="B58" s="96" t="s">
        <v>88</v>
      </c>
      <c r="C58" s="59">
        <f aca="true" t="shared" si="20" ref="C58:AH58">SUM(C14-C33)</f>
        <v>9925810.719999999</v>
      </c>
      <c r="D58" s="59">
        <f t="shared" si="20"/>
        <v>0</v>
      </c>
      <c r="E58" s="59">
        <f t="shared" si="20"/>
        <v>-15475.900000000001</v>
      </c>
      <c r="F58" s="59">
        <f t="shared" si="20"/>
        <v>2877470.6</v>
      </c>
      <c r="G58" s="59">
        <f t="shared" si="20"/>
        <v>1398062.74</v>
      </c>
      <c r="H58" s="59">
        <f t="shared" si="20"/>
        <v>1401046.18</v>
      </c>
      <c r="I58" s="59">
        <f t="shared" si="20"/>
        <v>-1386892.89</v>
      </c>
      <c r="J58" s="59">
        <f t="shared" si="20"/>
        <v>766766.86</v>
      </c>
      <c r="K58" s="59">
        <f t="shared" si="20"/>
        <v>-406394.66</v>
      </c>
      <c r="L58" s="59">
        <f t="shared" si="20"/>
        <v>2063117.11</v>
      </c>
      <c r="M58" s="59">
        <f t="shared" si="20"/>
        <v>1949398.0000000002</v>
      </c>
      <c r="N58" s="59">
        <f t="shared" si="20"/>
        <v>-261320.07</v>
      </c>
      <c r="O58" s="59">
        <f t="shared" si="20"/>
        <v>-106632.88</v>
      </c>
      <c r="P58" s="59">
        <f t="shared" si="20"/>
        <v>-189141.86000000002</v>
      </c>
      <c r="Q58" s="59">
        <f t="shared" si="20"/>
        <v>1170771.33</v>
      </c>
      <c r="R58" s="59">
        <f t="shared" si="20"/>
        <v>471377.24</v>
      </c>
      <c r="S58" s="59">
        <f t="shared" si="20"/>
        <v>47988.95</v>
      </c>
      <c r="T58" s="59">
        <f t="shared" si="20"/>
        <v>-54647.09</v>
      </c>
      <c r="U58" s="59">
        <f t="shared" si="20"/>
        <v>84068.6</v>
      </c>
      <c r="V58" s="59">
        <f t="shared" si="20"/>
        <v>220556.5</v>
      </c>
      <c r="W58" s="59">
        <f t="shared" si="20"/>
        <v>82652.41</v>
      </c>
      <c r="X58" s="59">
        <f t="shared" si="20"/>
        <v>-5247</v>
      </c>
      <c r="Y58" s="59">
        <f t="shared" si="20"/>
        <v>0</v>
      </c>
      <c r="Z58" s="59">
        <f t="shared" si="20"/>
        <v>1263.3</v>
      </c>
      <c r="AA58" s="59">
        <f t="shared" si="20"/>
        <v>-26300</v>
      </c>
      <c r="AB58" s="59">
        <f t="shared" si="20"/>
        <v>0</v>
      </c>
      <c r="AC58" s="59">
        <f t="shared" si="20"/>
        <v>-21367.89</v>
      </c>
      <c r="AD58" s="59">
        <f t="shared" si="20"/>
        <v>2352.64</v>
      </c>
      <c r="AE58" s="59">
        <f t="shared" si="20"/>
        <v>0</v>
      </c>
      <c r="AF58" s="59">
        <f t="shared" si="20"/>
        <v>5754</v>
      </c>
      <c r="AG58" s="59">
        <f t="shared" si="20"/>
        <v>-76379.36</v>
      </c>
      <c r="AH58" s="59">
        <f t="shared" si="20"/>
        <v>71746</v>
      </c>
      <c r="AI58" s="59">
        <f aca="true" t="shared" si="21" ref="AI58:BH58">SUM(AI14-AI33)</f>
        <v>0</v>
      </c>
      <c r="AJ58" s="59">
        <f t="shared" si="21"/>
        <v>11422</v>
      </c>
      <c r="AK58" s="59">
        <f t="shared" si="21"/>
        <v>2412</v>
      </c>
      <c r="AL58" s="59">
        <f t="shared" si="21"/>
        <v>-32270.8</v>
      </c>
      <c r="AM58" s="59">
        <f t="shared" si="21"/>
        <v>0</v>
      </c>
      <c r="AN58" s="59">
        <f t="shared" si="21"/>
        <v>-41548.6</v>
      </c>
      <c r="AO58" s="59">
        <f t="shared" si="21"/>
        <v>-97780.81</v>
      </c>
      <c r="AP58" s="59">
        <f t="shared" si="21"/>
        <v>7294</v>
      </c>
      <c r="AQ58" s="59">
        <f t="shared" si="21"/>
        <v>-4700</v>
      </c>
      <c r="AR58" s="59">
        <f t="shared" si="21"/>
        <v>-14604</v>
      </c>
      <c r="AS58" s="59">
        <f t="shared" si="21"/>
        <v>-29823.5</v>
      </c>
      <c r="AT58" s="59">
        <f t="shared" si="21"/>
        <v>-9688</v>
      </c>
      <c r="AU58" s="59">
        <f t="shared" si="21"/>
        <v>144224.55</v>
      </c>
      <c r="AV58" s="59">
        <f t="shared" si="21"/>
        <v>-29026</v>
      </c>
      <c r="AW58" s="59">
        <f t="shared" si="21"/>
        <v>-38767.36</v>
      </c>
      <c r="AX58" s="59">
        <f t="shared" si="21"/>
        <v>18796</v>
      </c>
      <c r="AY58" s="59">
        <f t="shared" si="21"/>
        <v>-1641.8600000000001</v>
      </c>
      <c r="AZ58" s="59">
        <f t="shared" si="21"/>
        <v>-19083.670000000002</v>
      </c>
      <c r="BA58" s="59">
        <f t="shared" si="21"/>
        <v>-8</v>
      </c>
      <c r="BB58" s="59">
        <f t="shared" si="21"/>
        <v>-7168</v>
      </c>
      <c r="BC58" s="59">
        <f t="shared" si="21"/>
        <v>-34834.5</v>
      </c>
      <c r="BD58" s="59">
        <f t="shared" si="21"/>
        <v>35128</v>
      </c>
      <c r="BE58" s="59">
        <f t="shared" si="21"/>
        <v>-56944</v>
      </c>
      <c r="BF58" s="59">
        <f t="shared" si="21"/>
        <v>-21846.1</v>
      </c>
      <c r="BG58" s="59">
        <f t="shared" si="21"/>
        <v>69410.20999999999</v>
      </c>
      <c r="BH58" s="59">
        <f t="shared" si="21"/>
        <v>12266.3</v>
      </c>
    </row>
    <row r="59" spans="2:60" s="59" customFormat="1" ht="12.75" hidden="1">
      <c r="B59" s="96" t="s">
        <v>89</v>
      </c>
      <c r="C59" s="59">
        <f aca="true" t="shared" si="22" ref="C59:AH59">SUM(C20-C42)</f>
        <v>85610359.78999999</v>
      </c>
      <c r="D59" s="59">
        <f t="shared" si="22"/>
        <v>-103408</v>
      </c>
      <c r="E59" s="59">
        <f t="shared" si="22"/>
        <v>-107407.61</v>
      </c>
      <c r="F59" s="59">
        <f t="shared" si="22"/>
        <v>-153698.97</v>
      </c>
      <c r="G59" s="59">
        <f t="shared" si="22"/>
        <v>-191083.77000000328</v>
      </c>
      <c r="H59" s="59">
        <f t="shared" si="22"/>
        <v>33314767.759999998</v>
      </c>
      <c r="I59" s="59">
        <f t="shared" si="22"/>
        <v>123355.13</v>
      </c>
      <c r="J59" s="59">
        <f t="shared" si="22"/>
        <v>-81761.9</v>
      </c>
      <c r="K59" s="59">
        <f t="shared" si="22"/>
        <v>3796288.4700000007</v>
      </c>
      <c r="L59" s="59">
        <f t="shared" si="22"/>
        <v>-231371</v>
      </c>
      <c r="M59" s="59">
        <f t="shared" si="22"/>
        <v>49337729.76</v>
      </c>
      <c r="N59" s="59">
        <f t="shared" si="22"/>
        <v>-143032.41</v>
      </c>
      <c r="O59" s="59">
        <f t="shared" si="22"/>
        <v>1234384.4800000018</v>
      </c>
      <c r="P59" s="59">
        <f t="shared" si="22"/>
        <v>-244484.28999999998</v>
      </c>
      <c r="Q59" s="59">
        <f t="shared" si="22"/>
        <v>-130271.01</v>
      </c>
      <c r="R59" s="59">
        <f t="shared" si="22"/>
        <v>-43759.25</v>
      </c>
      <c r="S59" s="59">
        <f t="shared" si="22"/>
        <v>-274169.05</v>
      </c>
      <c r="T59" s="59">
        <f t="shared" si="22"/>
        <v>-26389</v>
      </c>
      <c r="U59" s="59">
        <f t="shared" si="22"/>
        <v>-96116.13</v>
      </c>
      <c r="V59" s="59">
        <f t="shared" si="22"/>
        <v>-25884</v>
      </c>
      <c r="W59" s="59">
        <f t="shared" si="22"/>
        <v>250886.94</v>
      </c>
      <c r="X59" s="59">
        <f t="shared" si="22"/>
        <v>-34234.68000000001</v>
      </c>
      <c r="Y59" s="59">
        <f t="shared" si="22"/>
        <v>-43645.75</v>
      </c>
      <c r="Z59" s="59">
        <f t="shared" si="22"/>
        <v>-22618.75</v>
      </c>
      <c r="AA59" s="59">
        <f t="shared" si="22"/>
        <v>0</v>
      </c>
      <c r="AB59" s="59">
        <f t="shared" si="22"/>
        <v>10020</v>
      </c>
      <c r="AC59" s="59">
        <f t="shared" si="22"/>
        <v>-95047.75</v>
      </c>
      <c r="AD59" s="59">
        <f t="shared" si="22"/>
        <v>40</v>
      </c>
      <c r="AE59" s="59">
        <f t="shared" si="22"/>
        <v>-3695</v>
      </c>
      <c r="AF59" s="59">
        <f t="shared" si="22"/>
        <v>0</v>
      </c>
      <c r="AG59" s="59">
        <f t="shared" si="22"/>
        <v>-832.5</v>
      </c>
      <c r="AH59" s="59">
        <f t="shared" si="22"/>
        <v>-25927.25</v>
      </c>
      <c r="AI59" s="59">
        <f aca="true" t="shared" si="23" ref="AI59:BH59">SUM(AI20-AI42)</f>
        <v>-37740.25</v>
      </c>
      <c r="AJ59" s="59">
        <f t="shared" si="23"/>
        <v>-108.50000000005821</v>
      </c>
      <c r="AK59" s="59">
        <f t="shared" si="23"/>
        <v>-75</v>
      </c>
      <c r="AL59" s="59">
        <f t="shared" si="23"/>
        <v>0</v>
      </c>
      <c r="AM59" s="59">
        <f t="shared" si="23"/>
        <v>0</v>
      </c>
      <c r="AN59" s="59">
        <f t="shared" si="23"/>
        <v>-25467</v>
      </c>
      <c r="AO59" s="59">
        <f t="shared" si="23"/>
        <v>-17782.25</v>
      </c>
      <c r="AP59" s="59">
        <f t="shared" si="23"/>
        <v>-177047.67</v>
      </c>
      <c r="AQ59" s="59">
        <f t="shared" si="23"/>
        <v>-75</v>
      </c>
      <c r="AR59" s="59">
        <f t="shared" si="23"/>
        <v>-2326.25</v>
      </c>
      <c r="AS59" s="59">
        <f t="shared" si="23"/>
        <v>-160.69999999925494</v>
      </c>
      <c r="AT59" s="59">
        <f t="shared" si="23"/>
        <v>0</v>
      </c>
      <c r="AU59" s="59">
        <f t="shared" si="23"/>
        <v>-39940</v>
      </c>
      <c r="AV59" s="59">
        <f t="shared" si="23"/>
        <v>18299.25</v>
      </c>
      <c r="AW59" s="59">
        <f t="shared" si="23"/>
        <v>-50</v>
      </c>
      <c r="AX59" s="59">
        <f t="shared" si="23"/>
        <v>-1297</v>
      </c>
      <c r="AY59" s="59">
        <f t="shared" si="23"/>
        <v>-565.75</v>
      </c>
      <c r="AZ59" s="59">
        <f t="shared" si="23"/>
        <v>-34728</v>
      </c>
      <c r="BA59" s="59">
        <f t="shared" si="23"/>
        <v>867.52</v>
      </c>
      <c r="BB59" s="59">
        <f t="shared" si="23"/>
        <v>-15</v>
      </c>
      <c r="BC59" s="59">
        <f t="shared" si="23"/>
        <v>-18879.999999999767</v>
      </c>
      <c r="BD59" s="59">
        <f t="shared" si="23"/>
        <v>-1127.25</v>
      </c>
      <c r="BE59" s="59">
        <f t="shared" si="23"/>
        <v>-42515.83</v>
      </c>
      <c r="BF59" s="59">
        <f t="shared" si="23"/>
        <v>0</v>
      </c>
      <c r="BG59" s="59">
        <f t="shared" si="23"/>
        <v>-11500</v>
      </c>
      <c r="BH59" s="59">
        <f t="shared" si="23"/>
        <v>13960</v>
      </c>
    </row>
    <row r="60" ht="12.75" hidden="1"/>
    <row r="61" ht="12.75" hidden="1"/>
    <row r="62" spans="2:60" s="59" customFormat="1" ht="12.75" hidden="1">
      <c r="B62" s="96"/>
      <c r="C62" s="59">
        <f>SUM(C58:C59)</f>
        <v>95536170.50999999</v>
      </c>
      <c r="D62" s="59">
        <f aca="true" t="shared" si="24" ref="D62:BH62">SUM(D58:D59)</f>
        <v>-103408</v>
      </c>
      <c r="E62" s="59">
        <f t="shared" si="24"/>
        <v>-122883.51000000001</v>
      </c>
      <c r="F62" s="59">
        <f t="shared" si="24"/>
        <v>2723771.63</v>
      </c>
      <c r="G62" s="59">
        <f t="shared" si="24"/>
        <v>1206978.9699999967</v>
      </c>
      <c r="H62" s="59">
        <f t="shared" si="24"/>
        <v>34715813.94</v>
      </c>
      <c r="I62" s="59">
        <f t="shared" si="24"/>
        <v>-1263537.7599999998</v>
      </c>
      <c r="J62" s="59">
        <f t="shared" si="24"/>
        <v>685004.96</v>
      </c>
      <c r="K62" s="59">
        <f t="shared" si="24"/>
        <v>3389893.8100000005</v>
      </c>
      <c r="L62" s="59">
        <f t="shared" si="24"/>
        <v>1831746.11</v>
      </c>
      <c r="M62" s="59">
        <f t="shared" si="24"/>
        <v>51287127.76</v>
      </c>
      <c r="N62" s="59">
        <f t="shared" si="24"/>
        <v>-404352.48</v>
      </c>
      <c r="O62" s="59">
        <f t="shared" si="24"/>
        <v>1127751.600000002</v>
      </c>
      <c r="P62" s="59">
        <f t="shared" si="24"/>
        <v>-433626.15</v>
      </c>
      <c r="Q62" s="59">
        <f t="shared" si="24"/>
        <v>1040500.3200000001</v>
      </c>
      <c r="R62" s="59">
        <f t="shared" si="24"/>
        <v>427617.99</v>
      </c>
      <c r="S62" s="59">
        <f t="shared" si="24"/>
        <v>-226180.09999999998</v>
      </c>
      <c r="T62" s="59">
        <f t="shared" si="24"/>
        <v>-81036.09</v>
      </c>
      <c r="U62" s="59">
        <f t="shared" si="24"/>
        <v>-12047.529999999999</v>
      </c>
      <c r="V62" s="59">
        <f t="shared" si="24"/>
        <v>194672.5</v>
      </c>
      <c r="W62" s="59">
        <f t="shared" si="24"/>
        <v>333539.35</v>
      </c>
      <c r="X62" s="59">
        <f t="shared" si="24"/>
        <v>-39481.68000000001</v>
      </c>
      <c r="Y62" s="59">
        <f t="shared" si="24"/>
        <v>-43645.75</v>
      </c>
      <c r="Z62" s="59">
        <f t="shared" si="24"/>
        <v>-21355.45</v>
      </c>
      <c r="AA62" s="59">
        <f t="shared" si="24"/>
        <v>-26300</v>
      </c>
      <c r="AB62" s="59">
        <f t="shared" si="24"/>
        <v>10020</v>
      </c>
      <c r="AC62" s="59">
        <f t="shared" si="24"/>
        <v>-116415.64</v>
      </c>
      <c r="AD62" s="59">
        <f t="shared" si="24"/>
        <v>2392.64</v>
      </c>
      <c r="AE62" s="59">
        <f t="shared" si="24"/>
        <v>-3695</v>
      </c>
      <c r="AF62" s="59">
        <f t="shared" si="24"/>
        <v>5754</v>
      </c>
      <c r="AG62" s="59">
        <f t="shared" si="24"/>
        <v>-77211.86</v>
      </c>
      <c r="AH62" s="59">
        <f t="shared" si="24"/>
        <v>45818.75</v>
      </c>
      <c r="AI62" s="59">
        <f t="shared" si="24"/>
        <v>-37740.25</v>
      </c>
      <c r="AJ62" s="59">
        <f t="shared" si="24"/>
        <v>11313.499999999942</v>
      </c>
      <c r="AK62" s="59">
        <f t="shared" si="24"/>
        <v>2337</v>
      </c>
      <c r="AL62" s="59">
        <f t="shared" si="24"/>
        <v>-32270.8</v>
      </c>
      <c r="AM62" s="59">
        <f t="shared" si="24"/>
        <v>0</v>
      </c>
      <c r="AN62" s="59">
        <f t="shared" si="24"/>
        <v>-67015.6</v>
      </c>
      <c r="AO62" s="59">
        <f t="shared" si="24"/>
        <v>-115563.06</v>
      </c>
      <c r="AP62" s="59">
        <f t="shared" si="24"/>
        <v>-169753.67</v>
      </c>
      <c r="AQ62" s="59">
        <f t="shared" si="24"/>
        <v>-4775</v>
      </c>
      <c r="AR62" s="59">
        <f t="shared" si="24"/>
        <v>-16930.25</v>
      </c>
      <c r="AS62" s="59">
        <f t="shared" si="24"/>
        <v>-29984.199999999255</v>
      </c>
      <c r="AT62" s="59">
        <f t="shared" si="24"/>
        <v>-9688</v>
      </c>
      <c r="AU62" s="59">
        <f t="shared" si="24"/>
        <v>104284.54999999999</v>
      </c>
      <c r="AV62" s="59">
        <f t="shared" si="24"/>
        <v>-10726.75</v>
      </c>
      <c r="AW62" s="59">
        <f t="shared" si="24"/>
        <v>-38817.36</v>
      </c>
      <c r="AX62" s="59">
        <f t="shared" si="24"/>
        <v>17499</v>
      </c>
      <c r="AY62" s="59">
        <f t="shared" si="24"/>
        <v>-2207.61</v>
      </c>
      <c r="AZ62" s="59">
        <f t="shared" si="24"/>
        <v>-53811.67</v>
      </c>
      <c r="BA62" s="59">
        <f t="shared" si="24"/>
        <v>859.52</v>
      </c>
      <c r="BB62" s="59">
        <f t="shared" si="24"/>
        <v>-7183</v>
      </c>
      <c r="BC62" s="59">
        <f t="shared" si="24"/>
        <v>-53714.49999999977</v>
      </c>
      <c r="BD62" s="59">
        <f t="shared" si="24"/>
        <v>34000.75</v>
      </c>
      <c r="BE62" s="59">
        <f t="shared" si="24"/>
        <v>-99459.83</v>
      </c>
      <c r="BF62" s="59">
        <f t="shared" si="24"/>
        <v>-21846.1</v>
      </c>
      <c r="BG62" s="59">
        <f t="shared" si="24"/>
        <v>57910.20999999999</v>
      </c>
      <c r="BH62" s="59">
        <f t="shared" si="24"/>
        <v>26226.3</v>
      </c>
    </row>
    <row r="63" ht="12.75" hidden="1"/>
  </sheetData>
  <sheetProtection/>
  <printOptions horizontalCentered="1"/>
  <pageMargins left="0.1968503937007874" right="0" top="0.5905511811023623" bottom="0.3937007874015748" header="0.5118110236220472" footer="0.5118110236220472"/>
  <pageSetup horizontalDpi="300" verticalDpi="300" orientation="portrait" paperSize="9" scale="95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Blažková Eva (MHMP)</cp:lastModifiedBy>
  <cp:lastPrinted>2015-05-06T07:41:39Z</cp:lastPrinted>
  <dcterms:created xsi:type="dcterms:W3CDTF">2006-01-13T12:10:48Z</dcterms:created>
  <dcterms:modified xsi:type="dcterms:W3CDTF">2015-05-06T08:06:00Z</dcterms:modified>
  <cp:category/>
  <cp:version/>
  <cp:contentType/>
  <cp:contentStatus/>
</cp:coreProperties>
</file>