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1100" windowHeight="6045" activeTab="0"/>
  </bookViews>
  <sheets>
    <sheet name="MČ 1-57" sheetId="1" r:id="rId1"/>
  </sheets>
  <definedNames>
    <definedName name="_xlnm.Print_Titles" localSheetId="0">'MČ 1-57'!$A:$B</definedName>
  </definedNames>
  <calcPr fullCalcOnLoad="1"/>
</workbook>
</file>

<file path=xl/sharedStrings.xml><?xml version="1.0" encoding="utf-8"?>
<sst xmlns="http://schemas.openxmlformats.org/spreadsheetml/2006/main" count="107" uniqueCount="104">
  <si>
    <t>Poř.</t>
  </si>
  <si>
    <t>Název finanční operace</t>
  </si>
  <si>
    <t>č.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</si>
  <si>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</si>
  <si>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</si>
  <si>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</si>
  <si>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</si>
  <si>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</si>
  <si>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</si>
  <si>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</si>
  <si>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</si>
  <si>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</si>
  <si>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</si>
  <si>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</si>
  <si>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</si>
  <si>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</si>
  <si>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</si>
  <si>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</si>
  <si>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</si>
  <si>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</si>
  <si>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</si>
  <si>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</si>
  <si>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</si>
  <si>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</si>
  <si>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</si>
  <si>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</si>
  <si>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</si>
  <si>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</si>
  <si>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</si>
  <si>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</si>
  <si>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D. Chabry</t>
  </si>
  <si>
    <t>D.Měcholupy</t>
  </si>
  <si>
    <t>D.Počernice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</si>
  <si>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</si>
  <si>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</si>
  <si>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</si>
  <si>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</si>
  <si>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</si>
  <si>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</si>
  <si>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</si>
  <si>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</si>
  <si>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</si>
  <si>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</si>
  <si>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</si>
  <si>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</si>
  <si>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</si>
  <si>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</si>
  <si>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</si>
  <si>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</si>
  <si>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</si>
  <si>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</si>
  <si>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</si>
  <si>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</si>
  <si>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</si>
  <si>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</si>
  <si>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</si>
  <si>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V. Chuchle</t>
  </si>
  <si>
    <t>Vinoř</t>
  </si>
  <si>
    <t>Zbraslav</t>
  </si>
  <si>
    <t>Zličín</t>
  </si>
  <si>
    <t>A: ZDROJE z finančního vypořádání</t>
  </si>
  <si>
    <t>3.</t>
  </si>
  <si>
    <t>4.</t>
  </si>
  <si>
    <t>Dorovnání z rozpočtu HMP celkem</t>
  </si>
  <si>
    <t>5.</t>
  </si>
  <si>
    <t>Úhrn zdrojů fin. vypořádání   (ř.3 a ř.4)</t>
  </si>
  <si>
    <t>B: POTŘEBY finančního vypořádání</t>
  </si>
  <si>
    <t>6.</t>
  </si>
  <si>
    <t>Odvody do SR  c e l k e m</t>
  </si>
  <si>
    <t>7.</t>
  </si>
  <si>
    <t>8.</t>
  </si>
  <si>
    <t>Úhrn potřeb (ř.6 a ř.7)</t>
  </si>
  <si>
    <t>9.</t>
  </si>
  <si>
    <t>Saldo FV (ř.5 - ř.8)</t>
  </si>
  <si>
    <t xml:space="preserve">         PŘEHLED FINANČNÍHO VYPOŘÁDÁNÍ            </t>
  </si>
  <si>
    <t>MČ celkem</t>
  </si>
  <si>
    <t>v Kč</t>
  </si>
  <si>
    <t>zkoušky zvláštní odborné způsobilosti</t>
  </si>
  <si>
    <t>doplatky místních poplatků</t>
  </si>
  <si>
    <t>vratky ostat.účel.prostř. MF ČR-kap.VPS</t>
  </si>
  <si>
    <t>vratky účel prostř.ost.rezotr.min./st.fondům</t>
  </si>
  <si>
    <t>Dorovnání dotací ze SR  c e l k e m</t>
  </si>
  <si>
    <t>Odvody do rozpočtu HMP   c e l k e m</t>
  </si>
  <si>
    <t xml:space="preserve">z toho: </t>
  </si>
  <si>
    <t xml:space="preserve">            přeplatky místních poplatků</t>
  </si>
  <si>
    <t>sociálně-právní ochrana dětí  ÚZ 13011</t>
  </si>
  <si>
    <t>výkon pěstounské péče  ÚZ 13010</t>
  </si>
  <si>
    <t xml:space="preserve">vratka nedočerp.dotace poskytnuté městskou částí hl.m. Praze ÚZ 79                                                                                                                                                   </t>
  </si>
  <si>
    <t>ostatní doplatky</t>
  </si>
  <si>
    <t>ostatní vratky</t>
  </si>
  <si>
    <t>ostat.vratky INV.</t>
  </si>
  <si>
    <t>ZA ROK 2017 S MČ HL. M. PRAHY</t>
  </si>
  <si>
    <t>volby do PS PČR ÚZ 98071</t>
  </si>
  <si>
    <t>volby do PS ČR ÚZ 98071</t>
  </si>
  <si>
    <t>volba prezidenta ÚZ 98008</t>
  </si>
  <si>
    <t xml:space="preserve">         vratky účel. prostř. r. 2017-investiční</t>
  </si>
  <si>
    <t xml:space="preserve">         vratky účel. prostř. r. 2017- neinvestiční</t>
  </si>
  <si>
    <r>
      <t xml:space="preserve">vratky účel. prostř.r.2016 </t>
    </r>
    <r>
      <rPr>
        <sz val="8"/>
        <rFont val="Arial CE"/>
        <family val="0"/>
      </rPr>
      <t>(popř.předchozích let)-investiční</t>
    </r>
  </si>
  <si>
    <r>
      <t xml:space="preserve">vratky účel. prostř.r.2016 </t>
    </r>
    <r>
      <rPr>
        <sz val="8"/>
        <rFont val="Arial CE"/>
        <family val="0"/>
      </rPr>
      <t>(popř.předchozích let)-neinvestiční</t>
    </r>
  </si>
  <si>
    <t>vratky účel.prostř. r. 2015 a 2016, u nichž je vyúčtování stanoveno na r. 2017 (granty)</t>
  </si>
  <si>
    <t>příprava volby prezidenta ÚZ 98008</t>
  </si>
  <si>
    <t>participativní rozpočty - neinvestiční výdaje</t>
  </si>
  <si>
    <t>participativní rozpočty - investiční výdaje</t>
  </si>
  <si>
    <t>Příloha č. 8 k usnesení Zastupitelstva HMP č. 38/50 ze dne 14. 6. 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</si>
</sst>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</numFmts>
  <fonts count="42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1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1" fillId="0" borderId="17" xfId="0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6" xfId="0" applyFont="1" applyBorder="1" applyAlignment="1">
      <alignment horizontal="left"/>
    </xf>
    <xf numFmtId="4" fontId="1" fillId="0" borderId="14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4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20" xfId="0" applyBorder="1" applyAlignment="1">
      <alignment/>
    </xf>
    <xf numFmtId="4" fontId="0" fillId="0" borderId="21" xfId="0" applyNumberFormat="1" applyBorder="1" applyAlignment="1">
      <alignment/>
    </xf>
    <xf numFmtId="0" fontId="1" fillId="0" borderId="20" xfId="0" applyFont="1" applyBorder="1" applyAlignment="1">
      <alignment horizontal="left"/>
    </xf>
    <xf numFmtId="4" fontId="1" fillId="0" borderId="21" xfId="0" applyNumberFormat="1" applyFont="1" applyBorder="1" applyAlignment="1">
      <alignment/>
    </xf>
    <xf numFmtId="0" fontId="0" fillId="0" borderId="20" xfId="0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20" xfId="0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2" fillId="0" borderId="18" xfId="0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0" fillId="0" borderId="14" xfId="0" applyNumberFormat="1" applyFill="1" applyBorder="1" applyAlignment="1">
      <alignment/>
    </xf>
    <xf numFmtId="0" fontId="0" fillId="0" borderId="0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20" xfId="0" applyBorder="1" applyAlignment="1">
      <alignment wrapText="1"/>
    </xf>
    <xf numFmtId="4" fontId="0" fillId="0" borderId="21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0" fontId="0" fillId="0" borderId="0" xfId="0" applyAlignment="1">
      <alignment wrapText="1"/>
    </xf>
    <xf numFmtId="49" fontId="3" fillId="0" borderId="16" xfId="0" applyNumberFormat="1" applyFont="1" applyBorder="1" applyAlignment="1">
      <alignment horizontal="left" indent="3"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1" fillId="0" borderId="13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49" fontId="3" fillId="0" borderId="14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 indent="3"/>
    </xf>
    <xf numFmtId="49" fontId="1" fillId="0" borderId="16" xfId="0" applyNumberFormat="1" applyFont="1" applyBorder="1" applyAlignment="1">
      <alignment horizontal="left"/>
    </xf>
    <xf numFmtId="49" fontId="0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/>
    </xf>
    <xf numFmtId="49" fontId="3" fillId="0" borderId="16" xfId="0" applyNumberFormat="1" applyFont="1" applyBorder="1" applyAlignment="1">
      <alignment horizontal="left" indent="3"/>
    </xf>
    <xf numFmtId="49" fontId="3" fillId="0" borderId="16" xfId="0" applyNumberFormat="1" applyFont="1" applyBorder="1" applyAlignment="1">
      <alignment horizontal="left" wrapText="1" indent="3"/>
    </xf>
    <xf numFmtId="49" fontId="3" fillId="0" borderId="16" xfId="0" applyNumberFormat="1" applyFont="1" applyFill="1" applyBorder="1" applyAlignment="1">
      <alignment horizontal="left" wrapText="1" indent="3"/>
    </xf>
    <xf numFmtId="49" fontId="0" fillId="0" borderId="16" xfId="0" applyNumberFormat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 horizontal="left" indent="3"/>
    </xf>
    <xf numFmtId="49" fontId="3" fillId="0" borderId="14" xfId="0" applyNumberFormat="1" applyFont="1" applyBorder="1" applyAlignment="1">
      <alignment horizontal="left" indent="3"/>
    </xf>
    <xf numFmtId="49" fontId="0" fillId="0" borderId="14" xfId="0" applyNumberFormat="1" applyFont="1" applyBorder="1" applyAlignment="1">
      <alignment/>
    </xf>
    <xf numFmtId="49" fontId="0" fillId="0" borderId="14" xfId="0" applyNumberFormat="1" applyBorder="1" applyAlignment="1">
      <alignment horizontal="left" wrapText="1" indent="3"/>
    </xf>
    <xf numFmtId="49" fontId="2" fillId="0" borderId="22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0" fillId="0" borderId="0" xfId="0" applyNumberFormat="1" applyAlignment="1">
      <alignment/>
    </xf>
    <xf numFmtId="4" fontId="1" fillId="0" borderId="14" xfId="0" applyNumberFormat="1" applyFont="1" applyBorder="1" applyAlignment="1">
      <alignment wrapText="1"/>
    </xf>
    <xf numFmtId="0" fontId="0" fillId="2" borderId="20" xfId="0" applyFill="1" applyBorder="1" applyAlignment="1">
      <alignment/>
    </xf>
    <xf numFmtId="49" fontId="0" fillId="2" borderId="14" xfId="0" applyNumberFormat="1" applyFill="1" applyBorder="1" applyAlignment="1">
      <alignment/>
    </xf>
    <xf numFmtId="4" fontId="1" fillId="2" borderId="14" xfId="0" applyNumberFormat="1" applyFont="1" applyFill="1" applyBorder="1" applyAlignment="1">
      <alignment/>
    </xf>
    <xf numFmtId="4" fontId="0" fillId="2" borderId="21" xfId="0" applyNumberFormat="1" applyFill="1" applyBorder="1" applyAlignment="1">
      <alignment/>
    </xf>
    <xf numFmtId="4" fontId="0" fillId="2" borderId="14" xfId="0" applyNumberFormat="1" applyFill="1" applyBorder="1" applyAlignment="1">
      <alignment/>
    </xf>
    <xf numFmtId="0" fontId="0" fillId="2" borderId="0" xfId="0" applyFill="1" applyAlignment="1">
      <alignment/>
    </xf>
    <xf numFmtId="49" fontId="0" fillId="2" borderId="14" xfId="0" applyNumberFormat="1" applyFill="1" applyBorder="1" applyAlignment="1">
      <alignment horizontal="left" wrapText="1" indent="3"/>
    </xf>
    <xf numFmtId="4" fontId="1" fillId="2" borderId="14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0" fontId="0" fillId="0" borderId="0" xfId="0" applyFill="1" applyAlignment="1">
      <alignment wrapText="1"/>
    </xf>
    <xf numFmtId="4" fontId="1" fillId="0" borderId="0" xfId="0" applyNumberFormat="1" applyFont="1" applyFill="1" applyBorder="1" applyAlignment="1">
      <alignment wrapText="1"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tabSelected="1" zoomScale="80" zoomScaleNormal="8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00390625" defaultRowHeight="12.75"/>
  <cols>
    <col min="1" max="1" width="4.00390625" style="0" customWidth="1"/>
    <col min="2" max="2" width="42.875" style="92" customWidth="1"/>
    <col min="3" max="3" width="17.125" style="3" customWidth="1"/>
    <col min="4" max="4" width="13.75390625" style="3" customWidth="1"/>
    <col min="5" max="5" width="14.00390625" style="3" bestFit="1" customWidth="1"/>
    <col min="6" max="6" width="13.375" style="3" customWidth="1"/>
    <col min="7" max="7" width="13.75390625" style="3" customWidth="1"/>
    <col min="8" max="8" width="15.00390625" style="3" customWidth="1"/>
    <col min="9" max="9" width="14.375" style="3" customWidth="1"/>
    <col min="10" max="10" width="13.375" style="3" bestFit="1" customWidth="1"/>
    <col min="11" max="11" width="15.125" style="3" customWidth="1"/>
    <col min="12" max="12" width="14.00390625" style="3" customWidth="1"/>
    <col min="13" max="13" width="13.375" style="3" customWidth="1"/>
    <col min="14" max="14" width="14.375" style="3" customWidth="1"/>
    <col min="15" max="15" width="14.875" style="3" customWidth="1"/>
    <col min="16" max="16" width="15.375" style="3" customWidth="1"/>
    <col min="17" max="17" width="14.00390625" style="3" bestFit="1" customWidth="1"/>
    <col min="18" max="18" width="15.375" style="3" customWidth="1"/>
    <col min="19" max="19" width="14.875" style="3" customWidth="1"/>
    <col min="20" max="20" width="13.375" style="3" customWidth="1"/>
    <col min="21" max="21" width="12.875" style="3" customWidth="1"/>
    <col min="22" max="22" width="13.25390625" style="3" customWidth="1"/>
    <col min="23" max="23" width="13.75390625" style="3" customWidth="1"/>
    <col min="24" max="24" width="14.00390625" style="3" bestFit="1" customWidth="1"/>
    <col min="25" max="25" width="13.25390625" style="3" customWidth="1"/>
    <col min="26" max="26" width="13.625" style="3" customWidth="1"/>
    <col min="27" max="27" width="11.125" style="3" customWidth="1"/>
    <col min="28" max="28" width="13.625" style="3" customWidth="1"/>
    <col min="29" max="29" width="13.75390625" style="3" customWidth="1"/>
    <col min="30" max="30" width="14.125" style="3" customWidth="1"/>
    <col min="31" max="31" width="13.75390625" style="3" customWidth="1"/>
    <col min="32" max="32" width="14.125" style="3" customWidth="1"/>
    <col min="33" max="33" width="12.875" style="3" customWidth="1"/>
    <col min="34" max="34" width="14.25390625" style="3" customWidth="1"/>
    <col min="35" max="35" width="13.875" style="3" customWidth="1"/>
    <col min="36" max="36" width="14.625" style="3" customWidth="1"/>
    <col min="37" max="37" width="13.75390625" style="3" customWidth="1"/>
    <col min="38" max="38" width="12.875" style="3" customWidth="1"/>
    <col min="39" max="39" width="12.625" style="3" customWidth="1"/>
    <col min="40" max="40" width="14.125" style="3" customWidth="1"/>
    <col min="41" max="41" width="13.875" style="3" customWidth="1"/>
    <col min="42" max="42" width="13.375" style="3" customWidth="1"/>
    <col min="43" max="43" width="12.75390625" style="3" customWidth="1"/>
    <col min="44" max="44" width="14.00390625" style="3" customWidth="1"/>
    <col min="45" max="45" width="13.75390625" style="3" customWidth="1"/>
    <col min="46" max="46" width="13.125" style="3" customWidth="1"/>
    <col min="47" max="47" width="13.375" style="3" customWidth="1"/>
    <col min="48" max="48" width="13.75390625" style="3" customWidth="1"/>
    <col min="49" max="49" width="13.875" style="4" customWidth="1"/>
    <col min="50" max="50" width="13.875" style="3" customWidth="1"/>
    <col min="51" max="51" width="13.625" style="3" customWidth="1"/>
    <col min="52" max="52" width="13.375" style="3" customWidth="1"/>
    <col min="53" max="54" width="14.00390625" style="3" customWidth="1"/>
    <col min="55" max="56" width="13.75390625" style="3" customWidth="1"/>
    <col min="57" max="57" width="14.00390625" style="3" customWidth="1"/>
    <col min="58" max="58" width="13.75390625" style="3" customWidth="1"/>
    <col min="59" max="59" width="13.875" style="3" customWidth="1"/>
    <col min="60" max="60" width="14.25390625" style="3" customWidth="1"/>
    <col min="61" max="61" width="10.75390625" style="0" customWidth="1"/>
    <col min="62" max="62" width="11.75390625" style="0" bestFit="1" customWidth="1"/>
    <col min="63" max="63" width="15.375" style="0" customWidth="1"/>
    <col min="64" max="65" width="10.75390625" style="0" customWidth="1"/>
  </cols>
  <sheetData>
    <row r="1" spans="1:2" ht="18.75">
      <c r="A1" s="105" t="s">
        <v>103</v>
      </c>
      <c r="B1" s="64"/>
    </row>
    <row r="3" spans="2:60" ht="12.75">
      <c r="B3" s="65" t="s">
        <v>74</v>
      </c>
      <c r="C3" s="1"/>
      <c r="D3" s="2"/>
      <c r="H3" s="2"/>
      <c r="L3" s="2"/>
      <c r="P3" s="2"/>
      <c r="T3" s="2"/>
      <c r="X3" s="2"/>
      <c r="AB3" s="2"/>
      <c r="AF3" s="2"/>
      <c r="AJ3" s="2"/>
      <c r="AN3" s="2"/>
      <c r="AR3" s="2"/>
      <c r="AV3" s="2"/>
      <c r="AZ3" s="2"/>
      <c r="BD3" s="2"/>
      <c r="BH3" s="2"/>
    </row>
    <row r="4" spans="2:60" ht="12.75">
      <c r="B4" s="66" t="s">
        <v>91</v>
      </c>
      <c r="C4" s="1"/>
      <c r="D4" s="2"/>
      <c r="H4" s="2"/>
      <c r="L4" s="2"/>
      <c r="P4" s="2"/>
      <c r="T4" s="2"/>
      <c r="X4" s="2"/>
      <c r="AB4" s="2"/>
      <c r="AF4" s="2"/>
      <c r="AJ4" s="2"/>
      <c r="AN4" s="2"/>
      <c r="AR4" s="2"/>
      <c r="AV4" s="2"/>
      <c r="AZ4" s="2"/>
      <c r="BD4" s="2"/>
      <c r="BH4" s="2"/>
    </row>
    <row r="5" spans="2:60" ht="12.75">
      <c r="B5" s="66"/>
      <c r="C5" s="1"/>
      <c r="D5" s="2"/>
      <c r="H5" s="2"/>
      <c r="L5" s="2"/>
      <c r="P5" s="2"/>
      <c r="T5" s="2"/>
      <c r="X5" s="2"/>
      <c r="AB5" s="2"/>
      <c r="AF5" s="2"/>
      <c r="AJ5" s="2"/>
      <c r="AN5" s="2"/>
      <c r="AR5" s="2"/>
      <c r="AV5" s="2"/>
      <c r="AZ5" s="2"/>
      <c r="BD5" s="2"/>
      <c r="BH5" s="2"/>
    </row>
    <row r="6" spans="2:60" ht="12.75">
      <c r="B6" s="66"/>
      <c r="C6" s="1"/>
      <c r="D6" s="2"/>
      <c r="H6" s="2"/>
      <c r="L6" s="2"/>
      <c r="P6" s="2"/>
      <c r="T6" s="2"/>
      <c r="X6" s="2"/>
      <c r="AB6" s="2"/>
      <c r="AF6" s="2"/>
      <c r="AJ6" s="2"/>
      <c r="AN6" s="2"/>
      <c r="AR6" s="2"/>
      <c r="AV6" s="2"/>
      <c r="AZ6" s="2"/>
      <c r="BD6" s="2"/>
      <c r="BH6" s="2"/>
    </row>
    <row r="7" spans="2:60" ht="13.5" thickBot="1">
      <c r="B7" s="67"/>
      <c r="C7" s="1"/>
      <c r="D7" s="2"/>
      <c r="H7" s="2"/>
      <c r="L7" s="2"/>
      <c r="P7" s="2"/>
      <c r="T7" s="2"/>
      <c r="X7" s="2"/>
      <c r="AB7" s="2"/>
      <c r="AF7" s="2"/>
      <c r="AJ7" s="2"/>
      <c r="AN7" s="2"/>
      <c r="AR7" s="2"/>
      <c r="AV7" s="2"/>
      <c r="AZ7" s="2"/>
      <c r="BD7" s="2"/>
      <c r="BH7" s="2"/>
    </row>
    <row r="8" spans="1:70" ht="12.75">
      <c r="A8" s="5" t="s">
        <v>0</v>
      </c>
      <c r="B8" s="68" t="s">
        <v>1</v>
      </c>
      <c r="C8" s="6" t="s">
        <v>75</v>
      </c>
      <c r="D8" s="6">
        <v>1</v>
      </c>
      <c r="E8" s="6">
        <v>2</v>
      </c>
      <c r="F8" s="6">
        <v>3</v>
      </c>
      <c r="G8" s="6">
        <v>4</v>
      </c>
      <c r="H8" s="6">
        <v>5</v>
      </c>
      <c r="I8" s="6">
        <v>6</v>
      </c>
      <c r="J8" s="6">
        <v>7</v>
      </c>
      <c r="K8" s="6">
        <v>8</v>
      </c>
      <c r="L8" s="6">
        <v>9</v>
      </c>
      <c r="M8" s="6">
        <v>10</v>
      </c>
      <c r="N8" s="6">
        <v>11</v>
      </c>
      <c r="O8" s="6">
        <v>12</v>
      </c>
      <c r="P8" s="6">
        <v>13</v>
      </c>
      <c r="Q8" s="6">
        <v>14</v>
      </c>
      <c r="R8" s="6">
        <v>15</v>
      </c>
      <c r="S8" s="6">
        <v>16</v>
      </c>
      <c r="T8" s="6">
        <v>17</v>
      </c>
      <c r="U8" s="6">
        <v>18</v>
      </c>
      <c r="V8" s="6">
        <v>19</v>
      </c>
      <c r="W8" s="6">
        <v>20</v>
      </c>
      <c r="X8" s="6">
        <v>21</v>
      </c>
      <c r="Y8" s="6">
        <v>22</v>
      </c>
      <c r="Z8" s="6">
        <v>23</v>
      </c>
      <c r="AA8" s="6">
        <v>24</v>
      </c>
      <c r="AB8" s="6">
        <v>25</v>
      </c>
      <c r="AC8" s="6">
        <v>26</v>
      </c>
      <c r="AD8" s="6">
        <v>27</v>
      </c>
      <c r="AE8" s="6">
        <v>28</v>
      </c>
      <c r="AF8" s="6">
        <v>29</v>
      </c>
      <c r="AG8" s="6">
        <v>30</v>
      </c>
      <c r="AH8" s="6">
        <v>31</v>
      </c>
      <c r="AI8" s="6">
        <v>32</v>
      </c>
      <c r="AJ8" s="6">
        <v>33</v>
      </c>
      <c r="AK8" s="6">
        <v>34</v>
      </c>
      <c r="AL8" s="6">
        <v>35</v>
      </c>
      <c r="AM8" s="6">
        <v>36</v>
      </c>
      <c r="AN8" s="6">
        <v>37</v>
      </c>
      <c r="AO8" s="6">
        <v>38</v>
      </c>
      <c r="AP8" s="6">
        <v>39</v>
      </c>
      <c r="AQ8" s="6">
        <v>40</v>
      </c>
      <c r="AR8" s="6">
        <v>41</v>
      </c>
      <c r="AS8" s="6">
        <v>42</v>
      </c>
      <c r="AT8" s="6">
        <v>43</v>
      </c>
      <c r="AU8" s="6">
        <v>44</v>
      </c>
      <c r="AV8" s="6">
        <v>45</v>
      </c>
      <c r="AW8" s="7">
        <v>46</v>
      </c>
      <c r="AX8" s="6">
        <v>47</v>
      </c>
      <c r="AY8" s="6">
        <v>48</v>
      </c>
      <c r="AZ8" s="6">
        <v>49</v>
      </c>
      <c r="BA8" s="6">
        <v>50</v>
      </c>
      <c r="BB8" s="6">
        <v>51</v>
      </c>
      <c r="BC8" s="6">
        <v>52</v>
      </c>
      <c r="BD8" s="6">
        <v>53</v>
      </c>
      <c r="BE8" s="6">
        <v>54</v>
      </c>
      <c r="BF8" s="6">
        <v>55</v>
      </c>
      <c r="BG8" s="6">
        <v>56</v>
      </c>
      <c r="BH8" s="6">
        <v>57</v>
      </c>
      <c r="BI8" s="8"/>
      <c r="BJ8" s="8"/>
      <c r="BK8" s="8"/>
      <c r="BL8" s="8"/>
      <c r="BM8" s="8"/>
      <c r="BN8" s="8"/>
      <c r="BO8" s="8"/>
      <c r="BP8" s="8"/>
      <c r="BQ8" s="8"/>
      <c r="BR8" s="8"/>
    </row>
    <row r="9" spans="1:70" ht="13.5" thickBot="1">
      <c r="A9" s="9" t="s">
        <v>2</v>
      </c>
      <c r="B9" s="69"/>
      <c r="C9" s="10" t="s">
        <v>76</v>
      </c>
      <c r="D9" s="10" t="s">
        <v>3</v>
      </c>
      <c r="E9" s="10" t="s">
        <v>4</v>
      </c>
      <c r="F9" s="10" t="s">
        <v>5</v>
      </c>
      <c r="G9" s="10" t="s">
        <v>6</v>
      </c>
      <c r="H9" s="10" t="s">
        <v>7</v>
      </c>
      <c r="I9" s="10" t="s">
        <v>8</v>
      </c>
      <c r="J9" s="10" t="s">
        <v>9</v>
      </c>
      <c r="K9" s="10" t="s">
        <v>10</v>
      </c>
      <c r="L9" s="10" t="s">
        <v>11</v>
      </c>
      <c r="M9" s="10" t="s">
        <v>12</v>
      </c>
      <c r="N9" s="10" t="s">
        <v>13</v>
      </c>
      <c r="O9" s="10" t="s">
        <v>14</v>
      </c>
      <c r="P9" s="10" t="s">
        <v>15</v>
      </c>
      <c r="Q9" s="10" t="s">
        <v>16</v>
      </c>
      <c r="R9" s="10" t="s">
        <v>17</v>
      </c>
      <c r="S9" s="10" t="s">
        <v>18</v>
      </c>
      <c r="T9" s="10" t="s">
        <v>19</v>
      </c>
      <c r="U9" s="10" t="s">
        <v>20</v>
      </c>
      <c r="V9" s="10" t="s">
        <v>21</v>
      </c>
      <c r="W9" s="10" t="s">
        <v>22</v>
      </c>
      <c r="X9" s="10" t="s">
        <v>23</v>
      </c>
      <c r="Y9" s="10" t="s">
        <v>24</v>
      </c>
      <c r="Z9" s="10" t="s">
        <v>25</v>
      </c>
      <c r="AA9" s="10" t="s">
        <v>26</v>
      </c>
      <c r="AB9" s="10" t="s">
        <v>27</v>
      </c>
      <c r="AC9" s="10" t="s">
        <v>28</v>
      </c>
      <c r="AD9" s="10" t="s">
        <v>29</v>
      </c>
      <c r="AE9" s="10" t="s">
        <v>30</v>
      </c>
      <c r="AF9" s="10" t="s">
        <v>31</v>
      </c>
      <c r="AG9" s="10" t="s">
        <v>32</v>
      </c>
      <c r="AH9" s="10" t="s">
        <v>33</v>
      </c>
      <c r="AI9" s="10" t="s">
        <v>34</v>
      </c>
      <c r="AJ9" s="10" t="s">
        <v>35</v>
      </c>
      <c r="AK9" s="10" t="s">
        <v>36</v>
      </c>
      <c r="AL9" s="10" t="s">
        <v>37</v>
      </c>
      <c r="AM9" s="10" t="s">
        <v>38</v>
      </c>
      <c r="AN9" s="10" t="s">
        <v>39</v>
      </c>
      <c r="AO9" s="10" t="s">
        <v>40</v>
      </c>
      <c r="AP9" s="10" t="s">
        <v>41</v>
      </c>
      <c r="AQ9" s="10" t="s">
        <v>42</v>
      </c>
      <c r="AR9" s="10" t="s">
        <v>43</v>
      </c>
      <c r="AS9" s="10" t="s">
        <v>44</v>
      </c>
      <c r="AT9" s="10" t="s">
        <v>45</v>
      </c>
      <c r="AU9" s="10" t="s">
        <v>46</v>
      </c>
      <c r="AV9" s="10" t="s">
        <v>47</v>
      </c>
      <c r="AW9" s="11" t="s">
        <v>48</v>
      </c>
      <c r="AX9" s="10" t="s">
        <v>49</v>
      </c>
      <c r="AY9" s="10" t="s">
        <v>50</v>
      </c>
      <c r="AZ9" s="10" t="s">
        <v>51</v>
      </c>
      <c r="BA9" s="10" t="s">
        <v>52</v>
      </c>
      <c r="BB9" s="10" t="s">
        <v>53</v>
      </c>
      <c r="BC9" s="10" t="s">
        <v>54</v>
      </c>
      <c r="BD9" s="10" t="s">
        <v>55</v>
      </c>
      <c r="BE9" s="10" t="s">
        <v>56</v>
      </c>
      <c r="BF9" s="10" t="s">
        <v>57</v>
      </c>
      <c r="BG9" s="10" t="s">
        <v>58</v>
      </c>
      <c r="BH9" s="10" t="s">
        <v>59</v>
      </c>
      <c r="BI9" s="8"/>
      <c r="BJ9" s="8"/>
      <c r="BK9" s="8"/>
      <c r="BL9" s="8"/>
      <c r="BM9" s="8"/>
      <c r="BN9" s="8"/>
      <c r="BO9" s="8"/>
      <c r="BP9" s="8"/>
      <c r="BQ9" s="8"/>
      <c r="BR9" s="8"/>
    </row>
    <row r="10" spans="1:60" ht="13.5" thickTop="1">
      <c r="A10" s="12"/>
      <c r="B10" s="70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</row>
    <row r="11" spans="1:60" ht="12.75">
      <c r="A11" s="20"/>
      <c r="B11" s="7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</row>
    <row r="12" spans="1:60" ht="12.75">
      <c r="A12" s="20"/>
      <c r="B12" s="72" t="s">
        <v>60</v>
      </c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</row>
    <row r="13" spans="1:60" ht="12.75">
      <c r="A13" s="15"/>
      <c r="B13" s="73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</row>
    <row r="14" spans="1:67" s="25" customFormat="1" ht="12.75">
      <c r="A14" s="23" t="s">
        <v>61</v>
      </c>
      <c r="B14" s="72" t="s">
        <v>81</v>
      </c>
      <c r="C14" s="16">
        <f>SUM(D14:BH14)</f>
        <v>3165465.6499999994</v>
      </c>
      <c r="D14" s="24">
        <f aca="true" t="shared" si="0" ref="D14:AI14">SUM(D15:D17)</f>
        <v>0</v>
      </c>
      <c r="E14" s="24">
        <f t="shared" si="0"/>
        <v>0</v>
      </c>
      <c r="F14" s="24">
        <f t="shared" si="0"/>
        <v>594688.12</v>
      </c>
      <c r="G14" s="24">
        <f t="shared" si="0"/>
        <v>390848.03</v>
      </c>
      <c r="H14" s="24">
        <f t="shared" si="0"/>
        <v>121736.75</v>
      </c>
      <c r="I14" s="24">
        <f t="shared" si="0"/>
        <v>0</v>
      </c>
      <c r="J14" s="24">
        <f t="shared" si="0"/>
        <v>0</v>
      </c>
      <c r="K14" s="24">
        <f t="shared" si="0"/>
        <v>79509</v>
      </c>
      <c r="L14" s="24">
        <f t="shared" si="0"/>
        <v>1067863.3900000001</v>
      </c>
      <c r="M14" s="24">
        <f t="shared" si="0"/>
        <v>0</v>
      </c>
      <c r="N14" s="24">
        <f t="shared" si="0"/>
        <v>0</v>
      </c>
      <c r="O14" s="24">
        <f t="shared" si="0"/>
        <v>509669.02</v>
      </c>
      <c r="P14" s="24">
        <f t="shared" si="0"/>
        <v>0</v>
      </c>
      <c r="Q14" s="24">
        <f t="shared" si="0"/>
        <v>213480.55</v>
      </c>
      <c r="R14" s="24">
        <f t="shared" si="0"/>
        <v>0</v>
      </c>
      <c r="S14" s="24">
        <f t="shared" si="0"/>
        <v>23492.31</v>
      </c>
      <c r="T14" s="24">
        <f t="shared" si="0"/>
        <v>29451</v>
      </c>
      <c r="U14" s="24">
        <f t="shared" si="0"/>
        <v>0</v>
      </c>
      <c r="V14" s="24">
        <f t="shared" si="0"/>
        <v>69306.05</v>
      </c>
      <c r="W14" s="24">
        <f t="shared" si="0"/>
        <v>11328.98</v>
      </c>
      <c r="X14" s="24">
        <f t="shared" si="0"/>
        <v>0</v>
      </c>
      <c r="Y14" s="24">
        <f t="shared" si="0"/>
        <v>0</v>
      </c>
      <c r="Z14" s="24">
        <f t="shared" si="0"/>
        <v>7181</v>
      </c>
      <c r="AA14" s="24">
        <f t="shared" si="0"/>
        <v>0</v>
      </c>
      <c r="AB14" s="24">
        <f t="shared" si="0"/>
        <v>0</v>
      </c>
      <c r="AC14" s="24">
        <f t="shared" si="0"/>
        <v>0</v>
      </c>
      <c r="AD14" s="24">
        <f t="shared" si="0"/>
        <v>0</v>
      </c>
      <c r="AE14" s="24">
        <f t="shared" si="0"/>
        <v>8807.5</v>
      </c>
      <c r="AF14" s="24">
        <f t="shared" si="0"/>
        <v>0</v>
      </c>
      <c r="AG14" s="24">
        <f t="shared" si="0"/>
        <v>0</v>
      </c>
      <c r="AH14" s="24">
        <f t="shared" si="0"/>
        <v>492.55</v>
      </c>
      <c r="AI14" s="24">
        <f t="shared" si="0"/>
        <v>0</v>
      </c>
      <c r="AJ14" s="24">
        <f aca="true" t="shared" si="1" ref="AJ14:BH14">SUM(AJ15:AJ17)</f>
        <v>543.5</v>
      </c>
      <c r="AK14" s="24">
        <f t="shared" si="1"/>
        <v>0</v>
      </c>
      <c r="AL14" s="24">
        <f t="shared" si="1"/>
        <v>0</v>
      </c>
      <c r="AM14" s="24">
        <f t="shared" si="1"/>
        <v>0</v>
      </c>
      <c r="AN14" s="24">
        <f t="shared" si="1"/>
        <v>0</v>
      </c>
      <c r="AO14" s="24">
        <f t="shared" si="1"/>
        <v>0</v>
      </c>
      <c r="AP14" s="24">
        <f t="shared" si="1"/>
        <v>0</v>
      </c>
      <c r="AQ14" s="24">
        <f t="shared" si="1"/>
        <v>0</v>
      </c>
      <c r="AR14" s="24">
        <f t="shared" si="1"/>
        <v>0</v>
      </c>
      <c r="AS14" s="24">
        <f t="shared" si="1"/>
        <v>0</v>
      </c>
      <c r="AT14" s="24">
        <f t="shared" si="1"/>
        <v>0</v>
      </c>
      <c r="AU14" s="24">
        <f t="shared" si="1"/>
        <v>37067.9</v>
      </c>
      <c r="AV14" s="24">
        <f t="shared" si="1"/>
        <v>0</v>
      </c>
      <c r="AW14" s="24">
        <f t="shared" si="1"/>
        <v>0</v>
      </c>
      <c r="AX14" s="24">
        <f t="shared" si="1"/>
        <v>0</v>
      </c>
      <c r="AY14" s="24">
        <f t="shared" si="1"/>
        <v>0</v>
      </c>
      <c r="AZ14" s="24">
        <f t="shared" si="1"/>
        <v>0</v>
      </c>
      <c r="BA14" s="24">
        <f t="shared" si="1"/>
        <v>0</v>
      </c>
      <c r="BB14" s="24">
        <f t="shared" si="1"/>
        <v>0</v>
      </c>
      <c r="BC14" s="24">
        <f t="shared" si="1"/>
        <v>0</v>
      </c>
      <c r="BD14" s="24">
        <f t="shared" si="1"/>
        <v>0</v>
      </c>
      <c r="BE14" s="24">
        <f t="shared" si="1"/>
        <v>0</v>
      </c>
      <c r="BF14" s="24">
        <f t="shared" si="1"/>
        <v>0</v>
      </c>
      <c r="BG14" s="24">
        <f t="shared" si="1"/>
        <v>0</v>
      </c>
      <c r="BH14" s="24">
        <f t="shared" si="1"/>
        <v>0</v>
      </c>
      <c r="BI14" s="56"/>
      <c r="BJ14" s="57"/>
      <c r="BK14" s="57"/>
      <c r="BL14" s="57"/>
      <c r="BM14" s="57"/>
      <c r="BN14" s="57"/>
      <c r="BO14" s="57"/>
    </row>
    <row r="15" spans="1:63" ht="12.75">
      <c r="A15" s="26"/>
      <c r="B15" s="74" t="s">
        <v>83</v>
      </c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K15" s="57"/>
    </row>
    <row r="16" spans="1:63" ht="12.75">
      <c r="A16" s="27"/>
      <c r="B16" s="63" t="s">
        <v>92</v>
      </c>
      <c r="C16" s="16">
        <f>SUM(D16:BH16)</f>
        <v>2351412.47</v>
      </c>
      <c r="D16" s="22"/>
      <c r="E16" s="22"/>
      <c r="F16" s="22">
        <v>549043.12</v>
      </c>
      <c r="G16" s="22"/>
      <c r="H16" s="22">
        <v>121736.75</v>
      </c>
      <c r="I16" s="22"/>
      <c r="J16" s="22"/>
      <c r="K16" s="22"/>
      <c r="L16" s="22">
        <v>915867.39</v>
      </c>
      <c r="M16" s="22"/>
      <c r="N16" s="22"/>
      <c r="O16" s="22">
        <v>409973.02</v>
      </c>
      <c r="P16" s="22"/>
      <c r="Q16" s="22">
        <v>189480.55</v>
      </c>
      <c r="R16" s="22"/>
      <c r="S16" s="22">
        <v>23492.31</v>
      </c>
      <c r="T16" s="22">
        <v>29451</v>
      </c>
      <c r="U16" s="22"/>
      <c r="V16" s="22">
        <v>55801</v>
      </c>
      <c r="W16" s="22">
        <v>11328.98</v>
      </c>
      <c r="X16" s="22"/>
      <c r="Y16" s="22"/>
      <c r="Z16" s="22">
        <v>7181</v>
      </c>
      <c r="AA16" s="22"/>
      <c r="AB16" s="22"/>
      <c r="AC16" s="22"/>
      <c r="AD16" s="22"/>
      <c r="AE16" s="22"/>
      <c r="AF16" s="22"/>
      <c r="AG16" s="22"/>
      <c r="AH16" s="22">
        <v>445.95</v>
      </c>
      <c r="AI16" s="22"/>
      <c r="AJ16" s="22">
        <v>543.5</v>
      </c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>
        <v>37067.9</v>
      </c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K16" s="57"/>
    </row>
    <row r="17" spans="1:63" ht="12.75">
      <c r="A17" s="27"/>
      <c r="B17" s="63" t="s">
        <v>100</v>
      </c>
      <c r="C17" s="16">
        <f>SUM(D17:BH17)</f>
        <v>814053.18</v>
      </c>
      <c r="D17" s="22"/>
      <c r="E17" s="22"/>
      <c r="F17" s="22">
        <v>45645</v>
      </c>
      <c r="G17" s="22">
        <v>390848.03</v>
      </c>
      <c r="H17" s="22"/>
      <c r="I17" s="22"/>
      <c r="J17" s="22"/>
      <c r="K17" s="22">
        <v>79509</v>
      </c>
      <c r="L17" s="22">
        <v>151996</v>
      </c>
      <c r="M17" s="22"/>
      <c r="N17" s="22"/>
      <c r="O17" s="22">
        <v>99696</v>
      </c>
      <c r="P17" s="22"/>
      <c r="Q17" s="22">
        <v>24000</v>
      </c>
      <c r="R17" s="22"/>
      <c r="S17" s="22"/>
      <c r="T17" s="22"/>
      <c r="U17" s="22"/>
      <c r="V17" s="22">
        <v>13505.05</v>
      </c>
      <c r="W17" s="22"/>
      <c r="X17" s="22"/>
      <c r="Y17" s="22"/>
      <c r="Z17" s="22"/>
      <c r="AA17" s="22"/>
      <c r="AB17" s="22"/>
      <c r="AC17" s="22"/>
      <c r="AD17" s="22"/>
      <c r="AE17" s="22">
        <v>8807.5</v>
      </c>
      <c r="AF17" s="22"/>
      <c r="AG17" s="22"/>
      <c r="AH17" s="22">
        <v>46.6</v>
      </c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K17" s="57"/>
    </row>
    <row r="18" spans="1:63" ht="12.75">
      <c r="A18" s="27"/>
      <c r="B18" s="75"/>
      <c r="C18" s="16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K18" s="57"/>
    </row>
    <row r="19" spans="1:63" s="25" customFormat="1" ht="12.75">
      <c r="A19" s="28" t="s">
        <v>62</v>
      </c>
      <c r="B19" s="76" t="s">
        <v>63</v>
      </c>
      <c r="C19" s="16">
        <f>SUM(D19:BH19)</f>
        <v>7373881.41</v>
      </c>
      <c r="D19" s="21">
        <f aca="true" t="shared" si="2" ref="D19:AI19">SUM(D21:D26)</f>
        <v>0</v>
      </c>
      <c r="E19" s="21">
        <f t="shared" si="2"/>
        <v>0</v>
      </c>
      <c r="F19" s="21">
        <f t="shared" si="2"/>
        <v>863508.92</v>
      </c>
      <c r="G19" s="21">
        <f t="shared" si="2"/>
        <v>0</v>
      </c>
      <c r="H19" s="21">
        <f t="shared" si="2"/>
        <v>172529.15</v>
      </c>
      <c r="I19" s="21">
        <f t="shared" si="2"/>
        <v>507225.49</v>
      </c>
      <c r="J19" s="21">
        <f t="shared" si="2"/>
        <v>0</v>
      </c>
      <c r="K19" s="21">
        <f t="shared" si="2"/>
        <v>3339145</v>
      </c>
      <c r="L19" s="21">
        <f t="shared" si="2"/>
        <v>0</v>
      </c>
      <c r="M19" s="21">
        <f t="shared" si="2"/>
        <v>1157832.1199999999</v>
      </c>
      <c r="N19" s="21">
        <f t="shared" si="2"/>
        <v>0</v>
      </c>
      <c r="O19" s="21">
        <f t="shared" si="2"/>
        <v>0</v>
      </c>
      <c r="P19" s="21">
        <f t="shared" si="2"/>
        <v>0</v>
      </c>
      <c r="Q19" s="21">
        <f t="shared" si="2"/>
        <v>0</v>
      </c>
      <c r="R19" s="21">
        <f t="shared" si="2"/>
        <v>0</v>
      </c>
      <c r="S19" s="21">
        <f t="shared" si="2"/>
        <v>0</v>
      </c>
      <c r="T19" s="21">
        <f t="shared" si="2"/>
        <v>41.75</v>
      </c>
      <c r="U19" s="21">
        <f t="shared" si="2"/>
        <v>0</v>
      </c>
      <c r="V19" s="21">
        <f t="shared" si="2"/>
        <v>4200</v>
      </c>
      <c r="W19" s="21">
        <f t="shared" si="2"/>
        <v>219415.5</v>
      </c>
      <c r="X19" s="21">
        <f t="shared" si="2"/>
        <v>0</v>
      </c>
      <c r="Y19" s="21">
        <f t="shared" si="2"/>
        <v>0</v>
      </c>
      <c r="Z19" s="21">
        <f t="shared" si="2"/>
        <v>0</v>
      </c>
      <c r="AA19" s="21">
        <f t="shared" si="2"/>
        <v>0</v>
      </c>
      <c r="AB19" s="21">
        <f t="shared" si="2"/>
        <v>0</v>
      </c>
      <c r="AC19" s="21">
        <f t="shared" si="2"/>
        <v>8160</v>
      </c>
      <c r="AD19" s="21">
        <f t="shared" si="2"/>
        <v>0</v>
      </c>
      <c r="AE19" s="21">
        <f t="shared" si="2"/>
        <v>6743.38</v>
      </c>
      <c r="AF19" s="21">
        <f t="shared" si="2"/>
        <v>0</v>
      </c>
      <c r="AG19" s="21">
        <f t="shared" si="2"/>
        <v>0</v>
      </c>
      <c r="AH19" s="21">
        <f t="shared" si="2"/>
        <v>0</v>
      </c>
      <c r="AI19" s="21">
        <f t="shared" si="2"/>
        <v>0</v>
      </c>
      <c r="AJ19" s="21">
        <f aca="true" t="shared" si="3" ref="AJ19:BH19">SUM(AJ21:AJ26)</f>
        <v>0</v>
      </c>
      <c r="AK19" s="21">
        <f t="shared" si="3"/>
        <v>150000</v>
      </c>
      <c r="AL19" s="21">
        <f t="shared" si="3"/>
        <v>0</v>
      </c>
      <c r="AM19" s="21">
        <f t="shared" si="3"/>
        <v>0</v>
      </c>
      <c r="AN19" s="21">
        <f t="shared" si="3"/>
        <v>0</v>
      </c>
      <c r="AO19" s="21">
        <f t="shared" si="3"/>
        <v>0</v>
      </c>
      <c r="AP19" s="21">
        <f t="shared" si="3"/>
        <v>0</v>
      </c>
      <c r="AQ19" s="21">
        <f t="shared" si="3"/>
        <v>0</v>
      </c>
      <c r="AR19" s="21">
        <f t="shared" si="3"/>
        <v>0</v>
      </c>
      <c r="AS19" s="21">
        <f t="shared" si="3"/>
        <v>0</v>
      </c>
      <c r="AT19" s="21">
        <f t="shared" si="3"/>
        <v>0</v>
      </c>
      <c r="AU19" s="21">
        <f t="shared" si="3"/>
        <v>0</v>
      </c>
      <c r="AV19" s="21">
        <f t="shared" si="3"/>
        <v>0</v>
      </c>
      <c r="AW19" s="21">
        <f t="shared" si="3"/>
        <v>0</v>
      </c>
      <c r="AX19" s="21">
        <f t="shared" si="3"/>
        <v>0</v>
      </c>
      <c r="AY19" s="21">
        <f t="shared" si="3"/>
        <v>249297.75</v>
      </c>
      <c r="AZ19" s="21">
        <f t="shared" si="3"/>
        <v>180852.25</v>
      </c>
      <c r="BA19" s="21">
        <f t="shared" si="3"/>
        <v>2040</v>
      </c>
      <c r="BB19" s="21">
        <f t="shared" si="3"/>
        <v>75</v>
      </c>
      <c r="BC19" s="21">
        <f t="shared" si="3"/>
        <v>0</v>
      </c>
      <c r="BD19" s="21">
        <f t="shared" si="3"/>
        <v>0</v>
      </c>
      <c r="BE19" s="21">
        <f t="shared" si="3"/>
        <v>0</v>
      </c>
      <c r="BF19" s="21">
        <f t="shared" si="3"/>
        <v>0</v>
      </c>
      <c r="BG19" s="21">
        <f t="shared" si="3"/>
        <v>489050.1</v>
      </c>
      <c r="BH19" s="21">
        <f t="shared" si="3"/>
        <v>23765</v>
      </c>
      <c r="BK19" s="57"/>
    </row>
    <row r="20" spans="1:63" s="25" customFormat="1" ht="12.75">
      <c r="A20" s="28"/>
      <c r="B20" s="77" t="s">
        <v>83</v>
      </c>
      <c r="C20" s="16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K20" s="57"/>
    </row>
    <row r="21" spans="1:63" ht="12.75">
      <c r="A21" s="27"/>
      <c r="B21" s="78" t="s">
        <v>84</v>
      </c>
      <c r="C21" s="29">
        <f aca="true" t="shared" si="4" ref="C21:C26">SUM(D21:BH21)</f>
        <v>30625.13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>
        <v>41.75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>
        <v>6743.38</v>
      </c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>
        <v>75</v>
      </c>
      <c r="BC21" s="22"/>
      <c r="BD21" s="22"/>
      <c r="BE21" s="22"/>
      <c r="BF21" s="22"/>
      <c r="BG21" s="22"/>
      <c r="BH21" s="22">
        <v>23765</v>
      </c>
      <c r="BK21" s="57"/>
    </row>
    <row r="22" spans="1:63" s="32" customFormat="1" ht="12.75">
      <c r="A22" s="30"/>
      <c r="B22" s="79" t="s">
        <v>77</v>
      </c>
      <c r="C22" s="29">
        <f t="shared" si="4"/>
        <v>24420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>
        <v>4200</v>
      </c>
      <c r="W22" s="31"/>
      <c r="X22" s="31"/>
      <c r="Y22" s="31"/>
      <c r="Z22" s="31"/>
      <c r="AA22" s="31"/>
      <c r="AB22" s="31"/>
      <c r="AC22" s="31">
        <v>8160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>
        <v>10020</v>
      </c>
      <c r="BA22" s="31">
        <v>2040</v>
      </c>
      <c r="BB22" s="31"/>
      <c r="BC22" s="31"/>
      <c r="BD22" s="31"/>
      <c r="BE22" s="31"/>
      <c r="BF22" s="31"/>
      <c r="BG22" s="31"/>
      <c r="BH22" s="31"/>
      <c r="BK22" s="57"/>
    </row>
    <row r="23" spans="1:120" s="32" customFormat="1" ht="24">
      <c r="A23" s="30"/>
      <c r="B23" s="80" t="s">
        <v>87</v>
      </c>
      <c r="C23" s="55">
        <f t="shared" si="4"/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54"/>
      <c r="BJ23" s="54"/>
      <c r="BK23" s="57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</row>
    <row r="24" spans="1:120" s="32" customFormat="1" ht="12.75">
      <c r="A24" s="30"/>
      <c r="B24" s="81" t="s">
        <v>101</v>
      </c>
      <c r="C24" s="55">
        <f t="shared" si="4"/>
        <v>1564158.25</v>
      </c>
      <c r="D24" s="31"/>
      <c r="E24" s="31"/>
      <c r="F24" s="31">
        <v>713230.42</v>
      </c>
      <c r="G24" s="31"/>
      <c r="H24" s="31">
        <v>172529.15</v>
      </c>
      <c r="I24" s="31">
        <v>126166.86</v>
      </c>
      <c r="J24" s="31"/>
      <c r="K24" s="31"/>
      <c r="L24" s="31"/>
      <c r="M24" s="31">
        <v>428922.67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>
        <v>15333.5</v>
      </c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>
        <v>12584</v>
      </c>
      <c r="AZ24" s="31">
        <v>52092.15</v>
      </c>
      <c r="BA24" s="31"/>
      <c r="BB24" s="31"/>
      <c r="BC24" s="31"/>
      <c r="BD24" s="31"/>
      <c r="BE24" s="31"/>
      <c r="BF24" s="31"/>
      <c r="BG24" s="31">
        <v>43299.5</v>
      </c>
      <c r="BH24" s="31"/>
      <c r="BI24" s="54"/>
      <c r="BJ24" s="54"/>
      <c r="BK24" s="57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</row>
    <row r="25" spans="1:120" s="32" customFormat="1" ht="12.75">
      <c r="A25" s="30"/>
      <c r="B25" s="81" t="s">
        <v>102</v>
      </c>
      <c r="C25" s="55">
        <f t="shared" si="4"/>
        <v>5754678.029999999</v>
      </c>
      <c r="D25" s="31"/>
      <c r="E25" s="31"/>
      <c r="F25" s="31">
        <v>150278.5</v>
      </c>
      <c r="G25" s="31"/>
      <c r="H25" s="31"/>
      <c r="I25" s="31">
        <v>381058.63</v>
      </c>
      <c r="J25" s="31"/>
      <c r="K25" s="31">
        <v>3339145</v>
      </c>
      <c r="L25" s="31"/>
      <c r="M25" s="31">
        <v>728909.45</v>
      </c>
      <c r="N25" s="31"/>
      <c r="O25" s="31"/>
      <c r="P25" s="31"/>
      <c r="Q25" s="31"/>
      <c r="R25" s="31"/>
      <c r="S25" s="31"/>
      <c r="T25" s="31"/>
      <c r="U25" s="31"/>
      <c r="V25" s="31"/>
      <c r="W25" s="31">
        <v>219415.5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>
        <v>134666.5</v>
      </c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>
        <v>236713.75</v>
      </c>
      <c r="AZ25" s="31">
        <v>118740.1</v>
      </c>
      <c r="BA25" s="31"/>
      <c r="BB25" s="31"/>
      <c r="BC25" s="31"/>
      <c r="BD25" s="31"/>
      <c r="BE25" s="31"/>
      <c r="BF25" s="31"/>
      <c r="BG25" s="31">
        <v>445750.6</v>
      </c>
      <c r="BH25" s="31"/>
      <c r="BI25" s="54"/>
      <c r="BJ25" s="54"/>
      <c r="BK25" s="57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</row>
    <row r="26" spans="1:120" s="32" customFormat="1" ht="12.75">
      <c r="A26" s="30"/>
      <c r="B26" s="81" t="s">
        <v>88</v>
      </c>
      <c r="C26" s="55">
        <f t="shared" si="4"/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54"/>
      <c r="BJ26" s="54"/>
      <c r="BK26" s="57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</row>
    <row r="27" spans="1:63" ht="13.5" thickBot="1">
      <c r="A27" s="18"/>
      <c r="B27" s="82"/>
      <c r="C27" s="1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K27" s="57"/>
    </row>
    <row r="28" spans="1:63" s="35" customFormat="1" ht="14.25" thickBot="1" thickTop="1">
      <c r="A28" s="33" t="s">
        <v>64</v>
      </c>
      <c r="B28" s="83" t="s">
        <v>65</v>
      </c>
      <c r="C28" s="34">
        <f>SUM(D28:BH28)</f>
        <v>10539347.060000004</v>
      </c>
      <c r="D28" s="34">
        <f aca="true" t="shared" si="5" ref="D28:AI28">SUM(D14,D19)</f>
        <v>0</v>
      </c>
      <c r="E28" s="34">
        <f t="shared" si="5"/>
        <v>0</v>
      </c>
      <c r="F28" s="34">
        <f t="shared" si="5"/>
        <v>1458197.04</v>
      </c>
      <c r="G28" s="34">
        <f t="shared" si="5"/>
        <v>390848.03</v>
      </c>
      <c r="H28" s="34">
        <f t="shared" si="5"/>
        <v>294265.9</v>
      </c>
      <c r="I28" s="34">
        <f t="shared" si="5"/>
        <v>507225.49</v>
      </c>
      <c r="J28" s="34">
        <f t="shared" si="5"/>
        <v>0</v>
      </c>
      <c r="K28" s="34">
        <f t="shared" si="5"/>
        <v>3418654</v>
      </c>
      <c r="L28" s="34">
        <f t="shared" si="5"/>
        <v>1067863.3900000001</v>
      </c>
      <c r="M28" s="34">
        <f t="shared" si="5"/>
        <v>1157832.1199999999</v>
      </c>
      <c r="N28" s="34">
        <f t="shared" si="5"/>
        <v>0</v>
      </c>
      <c r="O28" s="34">
        <f t="shared" si="5"/>
        <v>509669.02</v>
      </c>
      <c r="P28" s="34">
        <f t="shared" si="5"/>
        <v>0</v>
      </c>
      <c r="Q28" s="34">
        <f t="shared" si="5"/>
        <v>213480.55</v>
      </c>
      <c r="R28" s="34">
        <f t="shared" si="5"/>
        <v>0</v>
      </c>
      <c r="S28" s="34">
        <f t="shared" si="5"/>
        <v>23492.31</v>
      </c>
      <c r="T28" s="34">
        <f t="shared" si="5"/>
        <v>29492.75</v>
      </c>
      <c r="U28" s="34">
        <f t="shared" si="5"/>
        <v>0</v>
      </c>
      <c r="V28" s="34">
        <f t="shared" si="5"/>
        <v>73506.05</v>
      </c>
      <c r="W28" s="34">
        <f t="shared" si="5"/>
        <v>230744.48</v>
      </c>
      <c r="X28" s="34">
        <f t="shared" si="5"/>
        <v>0</v>
      </c>
      <c r="Y28" s="34">
        <f t="shared" si="5"/>
        <v>0</v>
      </c>
      <c r="Z28" s="34">
        <f t="shared" si="5"/>
        <v>7181</v>
      </c>
      <c r="AA28" s="34">
        <f t="shared" si="5"/>
        <v>0</v>
      </c>
      <c r="AB28" s="34">
        <f t="shared" si="5"/>
        <v>0</v>
      </c>
      <c r="AC28" s="34">
        <f t="shared" si="5"/>
        <v>8160</v>
      </c>
      <c r="AD28" s="34">
        <f t="shared" si="5"/>
        <v>0</v>
      </c>
      <c r="AE28" s="34">
        <f t="shared" si="5"/>
        <v>15550.880000000001</v>
      </c>
      <c r="AF28" s="34">
        <f t="shared" si="5"/>
        <v>0</v>
      </c>
      <c r="AG28" s="34">
        <f t="shared" si="5"/>
        <v>0</v>
      </c>
      <c r="AH28" s="34">
        <f t="shared" si="5"/>
        <v>492.55</v>
      </c>
      <c r="AI28" s="34">
        <f t="shared" si="5"/>
        <v>0</v>
      </c>
      <c r="AJ28" s="34">
        <f aca="true" t="shared" si="6" ref="AJ28:BH28">SUM(AJ14,AJ19)</f>
        <v>543.5</v>
      </c>
      <c r="AK28" s="34">
        <f t="shared" si="6"/>
        <v>150000</v>
      </c>
      <c r="AL28" s="34">
        <f t="shared" si="6"/>
        <v>0</v>
      </c>
      <c r="AM28" s="34">
        <f t="shared" si="6"/>
        <v>0</v>
      </c>
      <c r="AN28" s="34">
        <f t="shared" si="6"/>
        <v>0</v>
      </c>
      <c r="AO28" s="34">
        <f t="shared" si="6"/>
        <v>0</v>
      </c>
      <c r="AP28" s="34">
        <f t="shared" si="6"/>
        <v>0</v>
      </c>
      <c r="AQ28" s="34">
        <f t="shared" si="6"/>
        <v>0</v>
      </c>
      <c r="AR28" s="34">
        <f t="shared" si="6"/>
        <v>0</v>
      </c>
      <c r="AS28" s="34">
        <f t="shared" si="6"/>
        <v>0</v>
      </c>
      <c r="AT28" s="34">
        <f t="shared" si="6"/>
        <v>0</v>
      </c>
      <c r="AU28" s="34">
        <f t="shared" si="6"/>
        <v>37067.9</v>
      </c>
      <c r="AV28" s="34">
        <f t="shared" si="6"/>
        <v>0</v>
      </c>
      <c r="AW28" s="34">
        <f t="shared" si="6"/>
        <v>0</v>
      </c>
      <c r="AX28" s="34">
        <f t="shared" si="6"/>
        <v>0</v>
      </c>
      <c r="AY28" s="34">
        <f t="shared" si="6"/>
        <v>249297.75</v>
      </c>
      <c r="AZ28" s="34">
        <f t="shared" si="6"/>
        <v>180852.25</v>
      </c>
      <c r="BA28" s="34">
        <f t="shared" si="6"/>
        <v>2040</v>
      </c>
      <c r="BB28" s="34">
        <f t="shared" si="6"/>
        <v>75</v>
      </c>
      <c r="BC28" s="34">
        <f t="shared" si="6"/>
        <v>0</v>
      </c>
      <c r="BD28" s="34">
        <f t="shared" si="6"/>
        <v>0</v>
      </c>
      <c r="BE28" s="34">
        <f t="shared" si="6"/>
        <v>0</v>
      </c>
      <c r="BF28" s="34">
        <f t="shared" si="6"/>
        <v>0</v>
      </c>
      <c r="BG28" s="34">
        <f t="shared" si="6"/>
        <v>489050.1</v>
      </c>
      <c r="BH28" s="34">
        <f t="shared" si="6"/>
        <v>23765</v>
      </c>
      <c r="BK28" s="57"/>
    </row>
    <row r="29" spans="1:63" s="38" customFormat="1" ht="13.5" thickTop="1">
      <c r="A29" s="36"/>
      <c r="B29" s="84"/>
      <c r="C29" s="24"/>
      <c r="D29" s="37"/>
      <c r="E29" s="52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K29" s="57"/>
    </row>
    <row r="30" spans="1:63" ht="12.75">
      <c r="A30" s="39"/>
      <c r="B30" s="85" t="s">
        <v>66</v>
      </c>
      <c r="C30" s="16"/>
      <c r="D30" s="40"/>
      <c r="E30" s="17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K30" s="57"/>
    </row>
    <row r="31" spans="1:63" ht="12.75">
      <c r="A31" s="39"/>
      <c r="B31" s="73"/>
      <c r="C31" s="16"/>
      <c r="D31" s="40"/>
      <c r="E31" s="17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K31" s="57"/>
    </row>
    <row r="32" spans="1:63" s="25" customFormat="1" ht="12.75">
      <c r="A32" s="41" t="s">
        <v>67</v>
      </c>
      <c r="B32" s="85" t="s">
        <v>68</v>
      </c>
      <c r="C32" s="16">
        <f aca="true" t="shared" si="7" ref="C32:C39">SUM(D32:BH32)</f>
        <v>10704859.220000004</v>
      </c>
      <c r="D32" s="42">
        <f aca="true" t="shared" si="8" ref="D32:AI32">SUM(D33:D39)</f>
        <v>0</v>
      </c>
      <c r="E32" s="42">
        <f t="shared" si="8"/>
        <v>12207.59</v>
      </c>
      <c r="F32" s="42">
        <f t="shared" si="8"/>
        <v>17746</v>
      </c>
      <c r="G32" s="42">
        <f t="shared" si="8"/>
        <v>669415.63</v>
      </c>
      <c r="H32" s="42">
        <f t="shared" si="8"/>
        <v>263693.44</v>
      </c>
      <c r="I32" s="42">
        <f t="shared" si="8"/>
        <v>1620810.11</v>
      </c>
      <c r="J32" s="42">
        <f t="shared" si="8"/>
        <v>778189.22</v>
      </c>
      <c r="K32" s="42">
        <f t="shared" si="8"/>
        <v>2289093.9899999998</v>
      </c>
      <c r="L32" s="42">
        <f t="shared" si="8"/>
        <v>0</v>
      </c>
      <c r="M32" s="42">
        <f t="shared" si="8"/>
        <v>966690.47</v>
      </c>
      <c r="N32" s="42">
        <f t="shared" si="8"/>
        <v>464909.95</v>
      </c>
      <c r="O32" s="42">
        <f t="shared" si="8"/>
        <v>61723.98</v>
      </c>
      <c r="P32" s="42">
        <f t="shared" si="8"/>
        <v>1274509.48</v>
      </c>
      <c r="Q32" s="42">
        <f t="shared" si="8"/>
        <v>73202.76</v>
      </c>
      <c r="R32" s="42">
        <f t="shared" si="8"/>
        <v>48212.91</v>
      </c>
      <c r="S32" s="42">
        <f t="shared" si="8"/>
        <v>0</v>
      </c>
      <c r="T32" s="42">
        <f t="shared" si="8"/>
        <v>209297.68</v>
      </c>
      <c r="U32" s="42">
        <f t="shared" si="8"/>
        <v>9980.49</v>
      </c>
      <c r="V32" s="42">
        <f t="shared" si="8"/>
        <v>0</v>
      </c>
      <c r="W32" s="42">
        <f t="shared" si="8"/>
        <v>10137.21</v>
      </c>
      <c r="X32" s="42">
        <f t="shared" si="8"/>
        <v>187259</v>
      </c>
      <c r="Y32" s="42">
        <f t="shared" si="8"/>
        <v>254100.12</v>
      </c>
      <c r="Z32" s="42">
        <f t="shared" si="8"/>
        <v>0</v>
      </c>
      <c r="AA32" s="42">
        <f t="shared" si="8"/>
        <v>21262.739999999998</v>
      </c>
      <c r="AB32" s="42">
        <f t="shared" si="8"/>
        <v>9987.2</v>
      </c>
      <c r="AC32" s="42">
        <f t="shared" si="8"/>
        <v>5567.58</v>
      </c>
      <c r="AD32" s="42">
        <f t="shared" si="8"/>
        <v>277</v>
      </c>
      <c r="AE32" s="42">
        <f t="shared" si="8"/>
        <v>0</v>
      </c>
      <c r="AF32" s="42">
        <f t="shared" si="8"/>
        <v>13.58</v>
      </c>
      <c r="AG32" s="42">
        <f t="shared" si="8"/>
        <v>22609</v>
      </c>
      <c r="AH32" s="42">
        <f t="shared" si="8"/>
        <v>0</v>
      </c>
      <c r="AI32" s="42">
        <f t="shared" si="8"/>
        <v>2424</v>
      </c>
      <c r="AJ32" s="42">
        <f aca="true" t="shared" si="9" ref="AJ32:BH32">SUM(AJ33:AJ39)</f>
        <v>0</v>
      </c>
      <c r="AK32" s="42">
        <f t="shared" si="9"/>
        <v>27145</v>
      </c>
      <c r="AL32" s="42">
        <f t="shared" si="9"/>
        <v>4408</v>
      </c>
      <c r="AM32" s="42">
        <f t="shared" si="9"/>
        <v>5862.57</v>
      </c>
      <c r="AN32" s="42">
        <f t="shared" si="9"/>
        <v>58432.46</v>
      </c>
      <c r="AO32" s="42">
        <f t="shared" si="9"/>
        <v>858321.57</v>
      </c>
      <c r="AP32" s="42">
        <f t="shared" si="9"/>
        <v>12000</v>
      </c>
      <c r="AQ32" s="42">
        <f t="shared" si="9"/>
        <v>0</v>
      </c>
      <c r="AR32" s="42">
        <f t="shared" si="9"/>
        <v>17336.6</v>
      </c>
      <c r="AS32" s="42">
        <f t="shared" si="9"/>
        <v>21755</v>
      </c>
      <c r="AT32" s="42">
        <f t="shared" si="9"/>
        <v>24673</v>
      </c>
      <c r="AU32" s="42">
        <f t="shared" si="9"/>
        <v>0</v>
      </c>
      <c r="AV32" s="42">
        <f t="shared" si="9"/>
        <v>21959</v>
      </c>
      <c r="AW32" s="42">
        <f t="shared" si="9"/>
        <v>38335.16</v>
      </c>
      <c r="AX32" s="42">
        <f t="shared" si="9"/>
        <v>0</v>
      </c>
      <c r="AY32" s="42">
        <f t="shared" si="9"/>
        <v>23027.3</v>
      </c>
      <c r="AZ32" s="42">
        <f t="shared" si="9"/>
        <v>57088.5</v>
      </c>
      <c r="BA32" s="42">
        <f t="shared" si="9"/>
        <v>25892.09</v>
      </c>
      <c r="BB32" s="42">
        <f t="shared" si="9"/>
        <v>16174.4</v>
      </c>
      <c r="BC32" s="42">
        <f t="shared" si="9"/>
        <v>23718</v>
      </c>
      <c r="BD32" s="42">
        <f t="shared" si="9"/>
        <v>34532.8</v>
      </c>
      <c r="BE32" s="42">
        <f t="shared" si="9"/>
        <v>59403</v>
      </c>
      <c r="BF32" s="42">
        <f t="shared" si="9"/>
        <v>11124</v>
      </c>
      <c r="BG32" s="42">
        <f t="shared" si="9"/>
        <v>61713.64</v>
      </c>
      <c r="BH32" s="42">
        <f t="shared" si="9"/>
        <v>28636</v>
      </c>
      <c r="BK32" s="57"/>
    </row>
    <row r="33" spans="1:63" ht="12.75">
      <c r="A33" s="39"/>
      <c r="B33" s="74" t="s">
        <v>83</v>
      </c>
      <c r="C33" s="16"/>
      <c r="D33" s="40"/>
      <c r="E33" s="17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K33" s="57"/>
    </row>
    <row r="34" spans="1:63" ht="12.75">
      <c r="A34" s="39"/>
      <c r="B34" s="79" t="s">
        <v>85</v>
      </c>
      <c r="C34" s="16">
        <f t="shared" si="7"/>
        <v>2530933.4000000004</v>
      </c>
      <c r="D34" s="40"/>
      <c r="E34" s="17">
        <v>3538.39</v>
      </c>
      <c r="F34" s="40"/>
      <c r="G34" s="40">
        <v>1968.62</v>
      </c>
      <c r="H34" s="40">
        <v>171267.94</v>
      </c>
      <c r="I34" s="40">
        <v>34581</v>
      </c>
      <c r="J34" s="40">
        <v>164220.2</v>
      </c>
      <c r="K34" s="40">
        <v>834535.82</v>
      </c>
      <c r="L34" s="40"/>
      <c r="M34" s="40">
        <v>230.71</v>
      </c>
      <c r="N34" s="40">
        <v>21556.21</v>
      </c>
      <c r="O34" s="40"/>
      <c r="P34" s="40">
        <v>1249667.02</v>
      </c>
      <c r="Q34" s="40"/>
      <c r="R34" s="40"/>
      <c r="S34" s="40"/>
      <c r="T34" s="40"/>
      <c r="U34" s="40">
        <v>9980.49</v>
      </c>
      <c r="V34" s="40"/>
      <c r="W34" s="40"/>
      <c r="X34" s="40">
        <v>5128</v>
      </c>
      <c r="Y34" s="40">
        <v>34259</v>
      </c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K34" s="57"/>
    </row>
    <row r="35" spans="1:63" ht="12.75">
      <c r="A35" s="39"/>
      <c r="B35" s="86" t="s">
        <v>79</v>
      </c>
      <c r="C35" s="16">
        <f t="shared" si="7"/>
        <v>0</v>
      </c>
      <c r="D35" s="40"/>
      <c r="E35" s="17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K35" s="57"/>
    </row>
    <row r="36" spans="1:63" s="46" customFormat="1" ht="12.75">
      <c r="A36" s="43"/>
      <c r="B36" s="63" t="s">
        <v>93</v>
      </c>
      <c r="C36" s="44">
        <f t="shared" si="7"/>
        <v>4661031.75</v>
      </c>
      <c r="D36" s="45"/>
      <c r="E36" s="53">
        <v>1</v>
      </c>
      <c r="F36" s="45"/>
      <c r="G36" s="45">
        <v>3842.87</v>
      </c>
      <c r="H36" s="45"/>
      <c r="I36" s="45">
        <v>1263209.11</v>
      </c>
      <c r="J36" s="45">
        <v>325082.77</v>
      </c>
      <c r="K36" s="45">
        <v>1092484.38</v>
      </c>
      <c r="L36" s="45"/>
      <c r="M36" s="45">
        <v>966459.45</v>
      </c>
      <c r="N36" s="45">
        <v>426143.94</v>
      </c>
      <c r="O36" s="45"/>
      <c r="P36" s="45">
        <v>8864.4</v>
      </c>
      <c r="Q36" s="45"/>
      <c r="R36" s="45">
        <v>6400</v>
      </c>
      <c r="S36" s="45"/>
      <c r="T36" s="45"/>
      <c r="U36" s="45"/>
      <c r="V36" s="45"/>
      <c r="W36" s="45"/>
      <c r="X36" s="45">
        <v>109011</v>
      </c>
      <c r="Y36" s="45">
        <v>25753.12</v>
      </c>
      <c r="Z36" s="45"/>
      <c r="AA36" s="45">
        <v>10102.74</v>
      </c>
      <c r="AB36" s="45"/>
      <c r="AC36" s="45">
        <v>5567.58</v>
      </c>
      <c r="AD36" s="45">
        <v>277</v>
      </c>
      <c r="AE36" s="45"/>
      <c r="AF36" s="45"/>
      <c r="AG36" s="45">
        <v>22609</v>
      </c>
      <c r="AH36" s="45"/>
      <c r="AI36" s="45"/>
      <c r="AJ36" s="45"/>
      <c r="AK36" s="45">
        <v>27145</v>
      </c>
      <c r="AL36" s="45">
        <v>1144</v>
      </c>
      <c r="AM36" s="45"/>
      <c r="AN36" s="45">
        <v>52632.86</v>
      </c>
      <c r="AO36" s="45">
        <v>398.5</v>
      </c>
      <c r="AP36" s="45"/>
      <c r="AQ36" s="45"/>
      <c r="AR36" s="45">
        <v>5336.6</v>
      </c>
      <c r="AS36" s="45">
        <v>10282</v>
      </c>
      <c r="AT36" s="45">
        <v>12673</v>
      </c>
      <c r="AU36" s="45"/>
      <c r="AV36" s="45">
        <v>18964</v>
      </c>
      <c r="AW36" s="45">
        <v>28183</v>
      </c>
      <c r="AX36" s="45"/>
      <c r="AY36" s="45">
        <v>19448</v>
      </c>
      <c r="AZ36" s="45">
        <v>41612.5</v>
      </c>
      <c r="BA36" s="45">
        <v>16779.09</v>
      </c>
      <c r="BB36" s="45">
        <v>4174.4</v>
      </c>
      <c r="BC36" s="45">
        <v>12900</v>
      </c>
      <c r="BD36" s="45">
        <v>26643.8</v>
      </c>
      <c r="BE36" s="45">
        <v>45403</v>
      </c>
      <c r="BF36" s="45">
        <v>748</v>
      </c>
      <c r="BG36" s="45">
        <v>56713.64</v>
      </c>
      <c r="BH36" s="45">
        <v>14042</v>
      </c>
      <c r="BK36" s="57"/>
    </row>
    <row r="37" spans="1:63" s="46" customFormat="1" ht="12.75">
      <c r="A37" s="43"/>
      <c r="B37" s="63" t="s">
        <v>94</v>
      </c>
      <c r="C37" s="44">
        <f t="shared" si="7"/>
        <v>334917.98</v>
      </c>
      <c r="D37" s="45"/>
      <c r="E37" s="53">
        <v>696.2</v>
      </c>
      <c r="F37" s="45"/>
      <c r="G37" s="45"/>
      <c r="H37" s="45">
        <v>804</v>
      </c>
      <c r="I37" s="45">
        <v>81195</v>
      </c>
      <c r="J37" s="45">
        <v>28314</v>
      </c>
      <c r="K37" s="45"/>
      <c r="L37" s="45"/>
      <c r="M37" s="45">
        <v>0.31</v>
      </c>
      <c r="N37" s="45"/>
      <c r="O37" s="45"/>
      <c r="P37" s="45">
        <v>4877.06</v>
      </c>
      <c r="Q37" s="45"/>
      <c r="R37" s="45">
        <v>1368.91</v>
      </c>
      <c r="S37" s="45"/>
      <c r="T37" s="45">
        <v>0.88</v>
      </c>
      <c r="U37" s="45"/>
      <c r="V37" s="45"/>
      <c r="W37" s="45">
        <v>10137.21</v>
      </c>
      <c r="X37" s="45">
        <v>12972</v>
      </c>
      <c r="Y37" s="45"/>
      <c r="Z37" s="45"/>
      <c r="AA37" s="45">
        <v>11160</v>
      </c>
      <c r="AB37" s="45">
        <v>9987.2</v>
      </c>
      <c r="AC37" s="45"/>
      <c r="AD37" s="45"/>
      <c r="AE37" s="45"/>
      <c r="AF37" s="45">
        <v>13.58</v>
      </c>
      <c r="AG37" s="45"/>
      <c r="AH37" s="45"/>
      <c r="AI37" s="45"/>
      <c r="AJ37" s="45"/>
      <c r="AK37" s="45"/>
      <c r="AL37" s="45">
        <v>3264</v>
      </c>
      <c r="AM37" s="45">
        <v>5862.57</v>
      </c>
      <c r="AN37" s="45">
        <v>5799.6</v>
      </c>
      <c r="AO37" s="45"/>
      <c r="AP37" s="45">
        <v>12000</v>
      </c>
      <c r="AQ37" s="45"/>
      <c r="AR37" s="45">
        <v>12000</v>
      </c>
      <c r="AS37" s="45">
        <v>11473</v>
      </c>
      <c r="AT37" s="45">
        <v>12000</v>
      </c>
      <c r="AU37" s="45"/>
      <c r="AV37" s="45">
        <v>2995</v>
      </c>
      <c r="AW37" s="45">
        <v>10152.16</v>
      </c>
      <c r="AX37" s="45"/>
      <c r="AY37" s="45">
        <v>3579.3</v>
      </c>
      <c r="AZ37" s="45">
        <v>15476</v>
      </c>
      <c r="BA37" s="45">
        <v>9113</v>
      </c>
      <c r="BB37" s="45">
        <v>12000</v>
      </c>
      <c r="BC37" s="45">
        <v>10818</v>
      </c>
      <c r="BD37" s="45">
        <v>7889</v>
      </c>
      <c r="BE37" s="45">
        <v>14000</v>
      </c>
      <c r="BF37" s="45">
        <v>10376</v>
      </c>
      <c r="BG37" s="45"/>
      <c r="BH37" s="45">
        <v>14594</v>
      </c>
      <c r="BK37" s="57"/>
    </row>
    <row r="38" spans="1:63" s="46" customFormat="1" ht="12.75">
      <c r="A38" s="43"/>
      <c r="B38" s="63" t="s">
        <v>86</v>
      </c>
      <c r="C38" s="44">
        <f t="shared" si="7"/>
        <v>222664</v>
      </c>
      <c r="D38" s="45"/>
      <c r="E38" s="53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>
        <v>40444</v>
      </c>
      <c r="S38" s="45"/>
      <c r="T38" s="45"/>
      <c r="U38" s="45"/>
      <c r="V38" s="45"/>
      <c r="W38" s="45"/>
      <c r="X38" s="45"/>
      <c r="Y38" s="45">
        <v>182220</v>
      </c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K38" s="57"/>
    </row>
    <row r="39" spans="1:63" ht="12.75">
      <c r="A39" s="39"/>
      <c r="B39" s="87" t="s">
        <v>80</v>
      </c>
      <c r="C39" s="16">
        <f t="shared" si="7"/>
        <v>2955312.0900000003</v>
      </c>
      <c r="D39" s="40"/>
      <c r="E39" s="17">
        <v>7972</v>
      </c>
      <c r="F39" s="40">
        <v>17746</v>
      </c>
      <c r="G39" s="40">
        <v>663604.14</v>
      </c>
      <c r="H39" s="40">
        <v>91621.5</v>
      </c>
      <c r="I39" s="40">
        <v>241825</v>
      </c>
      <c r="J39" s="40">
        <v>260572.25</v>
      </c>
      <c r="K39" s="40">
        <v>362073.79</v>
      </c>
      <c r="L39" s="40"/>
      <c r="M39" s="40"/>
      <c r="N39" s="40">
        <v>17209.8</v>
      </c>
      <c r="O39" s="40">
        <v>61723.98</v>
      </c>
      <c r="P39" s="40">
        <v>11101</v>
      </c>
      <c r="Q39" s="40">
        <v>73202.76</v>
      </c>
      <c r="R39" s="40"/>
      <c r="S39" s="40"/>
      <c r="T39" s="40">
        <v>209296.8</v>
      </c>
      <c r="U39" s="40"/>
      <c r="V39" s="40"/>
      <c r="W39" s="40"/>
      <c r="X39" s="40">
        <v>60148</v>
      </c>
      <c r="Y39" s="40">
        <v>11868</v>
      </c>
      <c r="Z39" s="40"/>
      <c r="AA39" s="40"/>
      <c r="AB39" s="40"/>
      <c r="AC39" s="40"/>
      <c r="AD39" s="40"/>
      <c r="AE39" s="40"/>
      <c r="AF39" s="40"/>
      <c r="AG39" s="40"/>
      <c r="AH39" s="40"/>
      <c r="AI39" s="40">
        <v>2424</v>
      </c>
      <c r="AJ39" s="40"/>
      <c r="AK39" s="40"/>
      <c r="AL39" s="40"/>
      <c r="AM39" s="40"/>
      <c r="AN39" s="40"/>
      <c r="AO39" s="40">
        <v>857923.07</v>
      </c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>
        <v>5000</v>
      </c>
      <c r="BH39" s="40"/>
      <c r="BK39" s="57"/>
    </row>
    <row r="40" spans="1:63" ht="12.75">
      <c r="A40" s="39"/>
      <c r="B40" s="73"/>
      <c r="C40" s="16"/>
      <c r="D40" s="40"/>
      <c r="E40" s="17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K40" s="57"/>
    </row>
    <row r="41" spans="1:63" s="25" customFormat="1" ht="12.75">
      <c r="A41" s="47" t="s">
        <v>69</v>
      </c>
      <c r="B41" s="85" t="s">
        <v>82</v>
      </c>
      <c r="C41" s="16">
        <f>SUM(D41:BH41)</f>
        <v>7311788.090000008</v>
      </c>
      <c r="D41" s="42">
        <f>SUM(D43:D49)</f>
        <v>267570.01</v>
      </c>
      <c r="E41" s="42">
        <f aca="true" t="shared" si="10" ref="E41:BH41">SUM(E43:E49)</f>
        <v>288611.25000000186</v>
      </c>
      <c r="F41" s="42">
        <f t="shared" si="10"/>
        <v>270807.26000000536</v>
      </c>
      <c r="G41" s="42">
        <f t="shared" si="10"/>
        <v>84556.13999999852</v>
      </c>
      <c r="H41" s="42">
        <f t="shared" si="10"/>
        <v>237959.61999999997</v>
      </c>
      <c r="I41" s="42">
        <f t="shared" si="10"/>
        <v>731764.1500000004</v>
      </c>
      <c r="J41" s="42">
        <f t="shared" si="10"/>
        <v>296128.77</v>
      </c>
      <c r="K41" s="42">
        <f t="shared" si="10"/>
        <v>543280.49</v>
      </c>
      <c r="L41" s="42">
        <f t="shared" si="10"/>
        <v>40026.490000000005</v>
      </c>
      <c r="M41" s="42">
        <f t="shared" si="10"/>
        <v>311003.15000000596</v>
      </c>
      <c r="N41" s="42">
        <f t="shared" si="10"/>
        <v>86878.53</v>
      </c>
      <c r="O41" s="42">
        <f t="shared" si="10"/>
        <v>498590.34999999404</v>
      </c>
      <c r="P41" s="42">
        <f t="shared" si="10"/>
        <v>547144.8899999984</v>
      </c>
      <c r="Q41" s="42">
        <f t="shared" si="10"/>
        <v>508768.9700000012</v>
      </c>
      <c r="R41" s="42">
        <f t="shared" si="10"/>
        <v>236656</v>
      </c>
      <c r="S41" s="42">
        <f t="shared" si="10"/>
        <v>24342.5</v>
      </c>
      <c r="T41" s="42">
        <f t="shared" si="10"/>
        <v>108821.45</v>
      </c>
      <c r="U41" s="42">
        <f t="shared" si="10"/>
        <v>84384.32</v>
      </c>
      <c r="V41" s="42">
        <f t="shared" si="10"/>
        <v>23007.17</v>
      </c>
      <c r="W41" s="42">
        <f t="shared" si="10"/>
        <v>74513.5</v>
      </c>
      <c r="X41" s="42">
        <f t="shared" si="10"/>
        <v>218832.64999999927</v>
      </c>
      <c r="Y41" s="42">
        <f t="shared" si="10"/>
        <v>92121</v>
      </c>
      <c r="Z41" s="42">
        <f t="shared" si="10"/>
        <v>3103.75</v>
      </c>
      <c r="AA41" s="42">
        <f t="shared" si="10"/>
        <v>600000</v>
      </c>
      <c r="AB41" s="42">
        <f t="shared" si="10"/>
        <v>54457</v>
      </c>
      <c r="AC41" s="42">
        <f t="shared" si="10"/>
        <v>5229.25</v>
      </c>
      <c r="AD41" s="42">
        <f t="shared" si="10"/>
        <v>0</v>
      </c>
      <c r="AE41" s="42">
        <f t="shared" si="10"/>
        <v>980</v>
      </c>
      <c r="AF41" s="42">
        <f t="shared" si="10"/>
        <v>0</v>
      </c>
      <c r="AG41" s="42">
        <f t="shared" si="10"/>
        <v>7040</v>
      </c>
      <c r="AH41" s="42">
        <f t="shared" si="10"/>
        <v>156.25</v>
      </c>
      <c r="AI41" s="42">
        <f t="shared" si="10"/>
        <v>19892.500000000233</v>
      </c>
      <c r="AJ41" s="42">
        <f t="shared" si="10"/>
        <v>1875</v>
      </c>
      <c r="AK41" s="42">
        <f t="shared" si="10"/>
        <v>39464.25</v>
      </c>
      <c r="AL41" s="42">
        <f t="shared" si="10"/>
        <v>14712.200000000186</v>
      </c>
      <c r="AM41" s="42">
        <f t="shared" si="10"/>
        <v>3413</v>
      </c>
      <c r="AN41" s="42">
        <f t="shared" si="10"/>
        <v>45760.3</v>
      </c>
      <c r="AO41" s="42">
        <f t="shared" si="10"/>
        <v>253425.79000000126</v>
      </c>
      <c r="AP41" s="42">
        <f t="shared" si="10"/>
        <v>21615.75</v>
      </c>
      <c r="AQ41" s="42">
        <f t="shared" si="10"/>
        <v>0</v>
      </c>
      <c r="AR41" s="42">
        <f t="shared" si="10"/>
        <v>19330</v>
      </c>
      <c r="AS41" s="42">
        <f t="shared" si="10"/>
        <v>61586.94000000104</v>
      </c>
      <c r="AT41" s="42">
        <f t="shared" si="10"/>
        <v>0</v>
      </c>
      <c r="AU41" s="42">
        <f t="shared" si="10"/>
        <v>260765</v>
      </c>
      <c r="AV41" s="42">
        <f t="shared" si="10"/>
        <v>845</v>
      </c>
      <c r="AW41" s="42">
        <f t="shared" si="10"/>
        <v>0</v>
      </c>
      <c r="AX41" s="42">
        <f t="shared" si="10"/>
        <v>50</v>
      </c>
      <c r="AY41" s="42">
        <f t="shared" si="10"/>
        <v>6120.720000000671</v>
      </c>
      <c r="AZ41" s="42">
        <f t="shared" si="10"/>
        <v>11383.150000000373</v>
      </c>
      <c r="BA41" s="42">
        <f t="shared" si="10"/>
        <v>44754.5</v>
      </c>
      <c r="BB41" s="42">
        <f t="shared" si="10"/>
        <v>78663.80000000005</v>
      </c>
      <c r="BC41" s="42">
        <f t="shared" si="10"/>
        <v>18615</v>
      </c>
      <c r="BD41" s="42">
        <f t="shared" si="10"/>
        <v>23188.5</v>
      </c>
      <c r="BE41" s="42">
        <f t="shared" si="10"/>
        <v>925</v>
      </c>
      <c r="BF41" s="42">
        <f t="shared" si="10"/>
        <v>33348.810000000056</v>
      </c>
      <c r="BG41" s="42">
        <f t="shared" si="10"/>
        <v>105237.96999999974</v>
      </c>
      <c r="BH41" s="42">
        <f t="shared" si="10"/>
        <v>80</v>
      </c>
      <c r="BK41" s="57"/>
    </row>
    <row r="42" spans="1:63" s="25" customFormat="1" ht="12.75">
      <c r="A42" s="47"/>
      <c r="B42" s="88" t="s">
        <v>83</v>
      </c>
      <c r="C42" s="16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K42" s="57"/>
    </row>
    <row r="43" spans="1:63" ht="12.75">
      <c r="A43" s="39"/>
      <c r="B43" s="73" t="s">
        <v>95</v>
      </c>
      <c r="C43" s="16">
        <f aca="true" t="shared" si="11" ref="C43:C49">SUM(D43:BH43)</f>
        <v>1923098.5800000068</v>
      </c>
      <c r="D43" s="40"/>
      <c r="E43" s="17">
        <f>29571070.62-600000-15169354-12101716.62-950000-750000</f>
        <v>1.862645149230957E-09</v>
      </c>
      <c r="F43" s="40">
        <f>91360465.76-6729129-600000-2500000-6000000-74000000-750000-750000</f>
        <v>31336.760000005364</v>
      </c>
      <c r="G43" s="40">
        <f>48283420.9-29572828.5-2500000-1900000-8000000-2847155.5-3460433</f>
        <v>3003.89999999851</v>
      </c>
      <c r="H43" s="40">
        <f>246842197.81-246842197.81</f>
        <v>0</v>
      </c>
      <c r="I43" s="40"/>
      <c r="J43" s="40"/>
      <c r="K43" s="40"/>
      <c r="L43" s="40"/>
      <c r="M43" s="40">
        <f>40788305.34-40667268.69</f>
        <v>121036.65000000596</v>
      </c>
      <c r="N43" s="40"/>
      <c r="O43" s="40">
        <f>190436856.1-190144466</f>
        <v>292390.09999999404</v>
      </c>
      <c r="P43" s="40">
        <f>74319388.99-73990543.16</f>
        <v>328845.8299999982</v>
      </c>
      <c r="Q43" s="40">
        <f>49201296.97-49034653.8</f>
        <v>166643.1700000018</v>
      </c>
      <c r="R43" s="40"/>
      <c r="S43" s="40"/>
      <c r="T43" s="40"/>
      <c r="U43" s="40"/>
      <c r="V43" s="40"/>
      <c r="W43" s="40"/>
      <c r="X43" s="40"/>
      <c r="Y43" s="40"/>
      <c r="Z43" s="40"/>
      <c r="AA43" s="40">
        <v>600000</v>
      </c>
      <c r="AB43" s="40"/>
      <c r="AC43" s="40"/>
      <c r="AD43" s="40">
        <f>5665646.63-2955246.63-2710400</f>
        <v>0</v>
      </c>
      <c r="AE43" s="40"/>
      <c r="AF43" s="40">
        <f>3464305-2864305-600000</f>
        <v>0</v>
      </c>
      <c r="AG43" s="40"/>
      <c r="AH43" s="40"/>
      <c r="AI43" s="40">
        <f>19914505.54-14814505.54-4500000-600000</f>
        <v>0</v>
      </c>
      <c r="AJ43" s="40"/>
      <c r="AK43" s="40"/>
      <c r="AL43" s="40"/>
      <c r="AM43" s="40"/>
      <c r="AN43" s="40"/>
      <c r="AO43" s="40"/>
      <c r="AP43" s="40"/>
      <c r="AQ43" s="40"/>
      <c r="AR43" s="40"/>
      <c r="AS43" s="40">
        <f>23387410.87-23330237.5</f>
        <v>57173.37000000104</v>
      </c>
      <c r="AT43" s="40"/>
      <c r="AU43" s="40">
        <f>20423231.63-20179226.63</f>
        <v>244005</v>
      </c>
      <c r="AV43" s="40"/>
      <c r="AW43" s="40"/>
      <c r="AX43" s="40"/>
      <c r="AY43" s="40"/>
      <c r="AZ43" s="40"/>
      <c r="BA43" s="40"/>
      <c r="BB43" s="40">
        <f>678663.8-600000</f>
        <v>78663.80000000005</v>
      </c>
      <c r="BC43" s="40"/>
      <c r="BD43" s="40"/>
      <c r="BE43" s="40"/>
      <c r="BF43" s="40"/>
      <c r="BG43" s="40"/>
      <c r="BH43" s="40"/>
      <c r="BK43" s="57"/>
    </row>
    <row r="44" spans="1:256" s="99" customFormat="1" ht="12.75">
      <c r="A44" s="94"/>
      <c r="B44" s="95" t="s">
        <v>96</v>
      </c>
      <c r="C44" s="96">
        <f t="shared" si="11"/>
        <v>2697923.5400000005</v>
      </c>
      <c r="D44" s="97">
        <v>91570</v>
      </c>
      <c r="E44" s="98">
        <f>1790760-1750000</f>
        <v>40760</v>
      </c>
      <c r="F44" s="97">
        <f>2382690-2250000</f>
        <v>132690</v>
      </c>
      <c r="G44" s="97">
        <f>569210-500000</f>
        <v>69210</v>
      </c>
      <c r="H44" s="97">
        <f>1719009.7-1685000</f>
        <v>34009.69999999995</v>
      </c>
      <c r="I44" s="97">
        <v>181340</v>
      </c>
      <c r="J44" s="97">
        <v>270136</v>
      </c>
      <c r="K44" s="97">
        <v>381711</v>
      </c>
      <c r="L44" s="97">
        <v>20689</v>
      </c>
      <c r="M44" s="97">
        <v>161050</v>
      </c>
      <c r="N44" s="97">
        <f>5675354-5600000</f>
        <v>75354</v>
      </c>
      <c r="O44" s="97">
        <f>1332683-1150000</f>
        <v>182683</v>
      </c>
      <c r="P44" s="97">
        <v>104583.44</v>
      </c>
      <c r="Q44" s="97">
        <v>2106.75</v>
      </c>
      <c r="R44" s="97">
        <v>10026</v>
      </c>
      <c r="S44" s="97">
        <v>22440</v>
      </c>
      <c r="T44" s="97">
        <v>108821.45</v>
      </c>
      <c r="U44" s="97">
        <v>59663</v>
      </c>
      <c r="V44" s="97">
        <v>11797.92</v>
      </c>
      <c r="W44" s="97">
        <v>73926</v>
      </c>
      <c r="X44" s="97">
        <v>176094.2</v>
      </c>
      <c r="Y44" s="97">
        <v>66326</v>
      </c>
      <c r="Z44" s="97">
        <v>3060</v>
      </c>
      <c r="AA44" s="97"/>
      <c r="AB44" s="97">
        <v>54457</v>
      </c>
      <c r="AC44" s="97"/>
      <c r="AD44" s="97"/>
      <c r="AE44" s="97">
        <v>980</v>
      </c>
      <c r="AF44" s="97"/>
      <c r="AG44" s="97">
        <v>7040</v>
      </c>
      <c r="AH44" s="97"/>
      <c r="AI44" s="97">
        <f>5073835.63-4756464.89-301960.74</f>
        <v>15410.000000000233</v>
      </c>
      <c r="AJ44" s="97"/>
      <c r="AK44" s="97">
        <v>37958</v>
      </c>
      <c r="AL44" s="97"/>
      <c r="AM44" s="97"/>
      <c r="AN44" s="97">
        <v>7060</v>
      </c>
      <c r="AO44" s="97">
        <v>92435.18</v>
      </c>
      <c r="AP44" s="97">
        <v>19302</v>
      </c>
      <c r="AQ44" s="97"/>
      <c r="AR44" s="97">
        <v>16900</v>
      </c>
      <c r="AS44" s="97"/>
      <c r="AT44" s="97"/>
      <c r="AU44" s="97">
        <v>16760</v>
      </c>
      <c r="AV44" s="97"/>
      <c r="AW44" s="97"/>
      <c r="AX44" s="97"/>
      <c r="AY44" s="97">
        <v>5270</v>
      </c>
      <c r="AZ44" s="97">
        <f>8743175.9-8742644</f>
        <v>531.9000000003725</v>
      </c>
      <c r="BA44" s="97">
        <f>93031-48600</f>
        <v>44431</v>
      </c>
      <c r="BB44" s="97"/>
      <c r="BC44" s="97">
        <v>18615</v>
      </c>
      <c r="BD44" s="97">
        <f>622180-616000</f>
        <v>6180</v>
      </c>
      <c r="BE44" s="97"/>
      <c r="BF44" s="97">
        <v>21760</v>
      </c>
      <c r="BG44" s="97">
        <v>52706</v>
      </c>
      <c r="BH44" s="97">
        <f>3200080-3200000</f>
        <v>80</v>
      </c>
      <c r="BI44" s="46"/>
      <c r="BJ44" s="46"/>
      <c r="BK44" s="102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  <c r="IV44" s="46"/>
    </row>
    <row r="45" spans="1:256" s="62" customFormat="1" ht="24">
      <c r="A45" s="59"/>
      <c r="B45" s="89" t="s">
        <v>97</v>
      </c>
      <c r="C45" s="93">
        <f t="shared" si="11"/>
        <v>817697.2800000007</v>
      </c>
      <c r="D45" s="60"/>
      <c r="E45" s="61"/>
      <c r="F45" s="60"/>
      <c r="G45" s="60"/>
      <c r="H45" s="60"/>
      <c r="I45" s="60"/>
      <c r="J45" s="60"/>
      <c r="K45" s="60"/>
      <c r="L45" s="60"/>
      <c r="M45" s="60"/>
      <c r="N45" s="60"/>
      <c r="O45" s="60">
        <f>4437748.32-4426198.32</f>
        <v>11550</v>
      </c>
      <c r="P45" s="60">
        <f>27001265.01-26997131.6</f>
        <v>4133.410000000149</v>
      </c>
      <c r="Q45" s="60">
        <f>9499588.36-9172814</f>
        <v>326774.3599999994</v>
      </c>
      <c r="R45" s="60">
        <v>217355</v>
      </c>
      <c r="S45" s="60"/>
      <c r="T45" s="60"/>
      <c r="U45" s="60"/>
      <c r="V45" s="60"/>
      <c r="W45" s="60"/>
      <c r="X45" s="60">
        <f>4719032.85-4678831.9</f>
        <v>40200.949999999255</v>
      </c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>
        <f>3199567.29-3184855.09</f>
        <v>14712.200000000186</v>
      </c>
      <c r="AM45" s="60"/>
      <c r="AN45" s="60"/>
      <c r="AO45" s="60">
        <f>11909600.06-11757937.45</f>
        <v>151662.61000000127</v>
      </c>
      <c r="AP45" s="60"/>
      <c r="AQ45" s="60"/>
      <c r="AR45" s="60"/>
      <c r="AS45" s="60"/>
      <c r="AT45" s="60"/>
      <c r="AU45" s="60"/>
      <c r="AV45" s="60"/>
      <c r="AW45" s="60"/>
      <c r="AX45" s="60"/>
      <c r="AY45" s="60">
        <f>7489962.57-7489880.85</f>
        <v>81.72000000067055</v>
      </c>
      <c r="AZ45" s="60"/>
      <c r="BA45" s="60"/>
      <c r="BB45" s="60"/>
      <c r="BC45" s="60"/>
      <c r="BD45" s="60"/>
      <c r="BE45" s="60"/>
      <c r="BF45" s="60">
        <f>3956943.65-3956928.59</f>
        <v>15.06000000005588</v>
      </c>
      <c r="BG45" s="60">
        <f>8293757.47-8242545.5</f>
        <v>51211.96999999974</v>
      </c>
      <c r="BH45" s="60"/>
      <c r="BI45" s="103"/>
      <c r="BJ45" s="103"/>
      <c r="BK45" s="104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3"/>
      <c r="EH45" s="103"/>
      <c r="EI45" s="103"/>
      <c r="EJ45" s="103"/>
      <c r="EK45" s="103"/>
      <c r="EL45" s="103"/>
      <c r="EM45" s="103"/>
      <c r="EN45" s="103"/>
      <c r="EO45" s="103"/>
      <c r="EP45" s="103"/>
      <c r="EQ45" s="103"/>
      <c r="ER45" s="103"/>
      <c r="ES45" s="103"/>
      <c r="ET45" s="103"/>
      <c r="EU45" s="103"/>
      <c r="EV45" s="103"/>
      <c r="EW45" s="103"/>
      <c r="EX45" s="103"/>
      <c r="EY45" s="103"/>
      <c r="EZ45" s="103"/>
      <c r="FA45" s="103"/>
      <c r="FB45" s="103"/>
      <c r="FC45" s="103"/>
      <c r="FD45" s="103"/>
      <c r="FE45" s="103"/>
      <c r="FF45" s="103"/>
      <c r="FG45" s="103"/>
      <c r="FH45" s="103"/>
      <c r="FI45" s="103"/>
      <c r="FJ45" s="103"/>
      <c r="FK45" s="103"/>
      <c r="FL45" s="103"/>
      <c r="FM45" s="103"/>
      <c r="FN45" s="103"/>
      <c r="FO45" s="103"/>
      <c r="FP45" s="103"/>
      <c r="FQ45" s="103"/>
      <c r="FR45" s="103"/>
      <c r="FS45" s="103"/>
      <c r="FT45" s="103"/>
      <c r="FU45" s="103"/>
      <c r="FV45" s="103"/>
      <c r="FW45" s="103"/>
      <c r="FX45" s="103"/>
      <c r="FY45" s="103"/>
      <c r="FZ45" s="103"/>
      <c r="GA45" s="103"/>
      <c r="GB45" s="103"/>
      <c r="GC45" s="103"/>
      <c r="GD45" s="103"/>
      <c r="GE45" s="103"/>
      <c r="GF45" s="103"/>
      <c r="GG45" s="103"/>
      <c r="GH45" s="103"/>
      <c r="GI45" s="103"/>
      <c r="GJ45" s="103"/>
      <c r="GK45" s="103"/>
      <c r="GL45" s="103"/>
      <c r="GM45" s="103"/>
      <c r="GN45" s="103"/>
      <c r="GO45" s="103"/>
      <c r="GP45" s="103"/>
      <c r="GQ45" s="103"/>
      <c r="GR45" s="103"/>
      <c r="GS45" s="103"/>
      <c r="GT45" s="103"/>
      <c r="GU45" s="103"/>
      <c r="GV45" s="103"/>
      <c r="GW45" s="103"/>
      <c r="GX45" s="103"/>
      <c r="GY45" s="103"/>
      <c r="GZ45" s="103"/>
      <c r="HA45" s="103"/>
      <c r="HB45" s="103"/>
      <c r="HC45" s="103"/>
      <c r="HD45" s="103"/>
      <c r="HE45" s="103"/>
      <c r="HF45" s="103"/>
      <c r="HG45" s="103"/>
      <c r="HH45" s="103"/>
      <c r="HI45" s="103"/>
      <c r="HJ45" s="103"/>
      <c r="HK45" s="103"/>
      <c r="HL45" s="103"/>
      <c r="HM45" s="103"/>
      <c r="HN45" s="103"/>
      <c r="HO45" s="103"/>
      <c r="HP45" s="103"/>
      <c r="HQ45" s="103"/>
      <c r="HR45" s="103"/>
      <c r="HS45" s="103"/>
      <c r="HT45" s="103"/>
      <c r="HU45" s="103"/>
      <c r="HV45" s="103"/>
      <c r="HW45" s="103"/>
      <c r="HX45" s="103"/>
      <c r="HY45" s="103"/>
      <c r="HZ45" s="103"/>
      <c r="IA45" s="103"/>
      <c r="IB45" s="103"/>
      <c r="IC45" s="103"/>
      <c r="ID45" s="103"/>
      <c r="IE45" s="103"/>
      <c r="IF45" s="103"/>
      <c r="IG45" s="103"/>
      <c r="IH45" s="103"/>
      <c r="II45" s="103"/>
      <c r="IJ45" s="103"/>
      <c r="IK45" s="103"/>
      <c r="IL45" s="103"/>
      <c r="IM45" s="103"/>
      <c r="IN45" s="103"/>
      <c r="IO45" s="103"/>
      <c r="IP45" s="103"/>
      <c r="IQ45" s="103"/>
      <c r="IR45" s="103"/>
      <c r="IS45" s="103"/>
      <c r="IT45" s="103"/>
      <c r="IU45" s="103"/>
      <c r="IV45" s="103"/>
    </row>
    <row r="46" spans="1:256" s="99" customFormat="1" ht="24">
      <c r="A46" s="94"/>
      <c r="B46" s="100" t="s">
        <v>98</v>
      </c>
      <c r="C46" s="101">
        <f t="shared" si="11"/>
        <v>142152.70000000036</v>
      </c>
      <c r="D46" s="97"/>
      <c r="E46" s="98"/>
      <c r="F46" s="97"/>
      <c r="G46" s="97"/>
      <c r="H46" s="97"/>
      <c r="I46" s="97">
        <f>5530039.4-5430000</f>
        <v>100039.40000000037</v>
      </c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>
        <v>3413</v>
      </c>
      <c r="AN46" s="97">
        <v>38700.3</v>
      </c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46"/>
      <c r="BJ46" s="46"/>
      <c r="BK46" s="102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</row>
    <row r="47" spans="1:63" s="62" customFormat="1" ht="25.5">
      <c r="A47" s="59"/>
      <c r="B47" s="89" t="s">
        <v>99</v>
      </c>
      <c r="C47" s="16">
        <f t="shared" si="11"/>
        <v>17001</v>
      </c>
      <c r="D47" s="60"/>
      <c r="E47" s="61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>
        <v>17001</v>
      </c>
      <c r="BE47" s="60"/>
      <c r="BF47" s="60"/>
      <c r="BG47" s="60"/>
      <c r="BH47" s="60"/>
      <c r="BK47" s="57"/>
    </row>
    <row r="48" spans="1:63" ht="12.75">
      <c r="A48" s="39"/>
      <c r="B48" s="87" t="s">
        <v>78</v>
      </c>
      <c r="C48" s="16">
        <f t="shared" si="11"/>
        <v>1713914.99</v>
      </c>
      <c r="D48" s="40">
        <v>176000.01</v>
      </c>
      <c r="E48" s="17">
        <v>247851.25</v>
      </c>
      <c r="F48" s="40">
        <v>106780.5</v>
      </c>
      <c r="G48" s="40">
        <v>12342.24</v>
      </c>
      <c r="H48" s="40">
        <v>203949.92</v>
      </c>
      <c r="I48" s="40">
        <v>450384.75</v>
      </c>
      <c r="J48" s="40">
        <v>25992.77</v>
      </c>
      <c r="K48" s="40">
        <v>161569.49</v>
      </c>
      <c r="L48" s="40">
        <v>19337.49</v>
      </c>
      <c r="M48" s="40">
        <v>28916.5</v>
      </c>
      <c r="N48" s="40">
        <v>11524.53</v>
      </c>
      <c r="O48" s="40">
        <v>11967.25</v>
      </c>
      <c r="P48" s="40">
        <v>109582.21</v>
      </c>
      <c r="Q48" s="40">
        <v>13244.69</v>
      </c>
      <c r="R48" s="40">
        <v>9275</v>
      </c>
      <c r="S48" s="40">
        <v>1902.5</v>
      </c>
      <c r="T48" s="40"/>
      <c r="U48" s="40">
        <v>24721.32</v>
      </c>
      <c r="V48" s="40">
        <v>11209.25</v>
      </c>
      <c r="W48" s="40">
        <v>587.5</v>
      </c>
      <c r="X48" s="40">
        <v>2537.5</v>
      </c>
      <c r="Y48" s="40">
        <v>25795</v>
      </c>
      <c r="Z48" s="40">
        <v>43.75</v>
      </c>
      <c r="AA48" s="40"/>
      <c r="AB48" s="40"/>
      <c r="AC48" s="40">
        <v>5229.25</v>
      </c>
      <c r="AD48" s="40"/>
      <c r="AE48" s="40"/>
      <c r="AF48" s="40"/>
      <c r="AG48" s="40"/>
      <c r="AH48" s="40">
        <v>156.25</v>
      </c>
      <c r="AI48" s="40">
        <v>4482.5</v>
      </c>
      <c r="AJ48" s="40">
        <v>1875</v>
      </c>
      <c r="AK48" s="40">
        <v>1506.25</v>
      </c>
      <c r="AL48" s="40"/>
      <c r="AM48" s="40"/>
      <c r="AN48" s="40"/>
      <c r="AO48" s="40">
        <v>9328</v>
      </c>
      <c r="AP48" s="40">
        <v>2313.75</v>
      </c>
      <c r="AQ48" s="40"/>
      <c r="AR48" s="40">
        <v>2430</v>
      </c>
      <c r="AS48" s="40">
        <v>4413.57</v>
      </c>
      <c r="AT48" s="40"/>
      <c r="AU48" s="40"/>
      <c r="AV48" s="40">
        <v>845</v>
      </c>
      <c r="AW48" s="40"/>
      <c r="AX48" s="40">
        <v>50</v>
      </c>
      <c r="AY48" s="40">
        <v>769</v>
      </c>
      <c r="AZ48" s="40">
        <v>10851.25</v>
      </c>
      <c r="BA48" s="40">
        <v>323.5</v>
      </c>
      <c r="BB48" s="40"/>
      <c r="BC48" s="40"/>
      <c r="BD48" s="40">
        <v>7.5</v>
      </c>
      <c r="BE48" s="40">
        <v>925</v>
      </c>
      <c r="BF48" s="40">
        <v>11573.75</v>
      </c>
      <c r="BG48" s="40">
        <v>1320</v>
      </c>
      <c r="BH48" s="40"/>
      <c r="BK48" s="57"/>
    </row>
    <row r="49" spans="1:63" ht="12.75">
      <c r="A49" s="39"/>
      <c r="B49" s="87" t="s">
        <v>89</v>
      </c>
      <c r="C49" s="16">
        <f t="shared" si="11"/>
        <v>0</v>
      </c>
      <c r="D49" s="40"/>
      <c r="E49" s="17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K49" s="57"/>
    </row>
    <row r="50" spans="1:63" ht="13.5" thickBot="1">
      <c r="A50" s="15"/>
      <c r="B50" s="73"/>
      <c r="C50" s="16"/>
      <c r="D50" s="40"/>
      <c r="E50" s="1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K50" s="57"/>
    </row>
    <row r="51" spans="1:63" s="35" customFormat="1" ht="14.25" thickBot="1" thickTop="1">
      <c r="A51" s="48" t="s">
        <v>70</v>
      </c>
      <c r="B51" s="90" t="s">
        <v>71</v>
      </c>
      <c r="C51" s="49">
        <f>SUM(D51:BH51)</f>
        <v>18016647.31000001</v>
      </c>
      <c r="D51" s="49">
        <f aca="true" t="shared" si="12" ref="D51:AI51">SUM(D32,D41)</f>
        <v>267570.01</v>
      </c>
      <c r="E51" s="49">
        <f t="shared" si="12"/>
        <v>300818.8400000019</v>
      </c>
      <c r="F51" s="49">
        <f t="shared" si="12"/>
        <v>288553.26000000536</v>
      </c>
      <c r="G51" s="49">
        <f t="shared" si="12"/>
        <v>753971.7699999985</v>
      </c>
      <c r="H51" s="49">
        <f t="shared" si="12"/>
        <v>501653.05999999994</v>
      </c>
      <c r="I51" s="49">
        <f t="shared" si="12"/>
        <v>2352574.2600000007</v>
      </c>
      <c r="J51" s="49">
        <f t="shared" si="12"/>
        <v>1074317.99</v>
      </c>
      <c r="K51" s="49">
        <f t="shared" si="12"/>
        <v>2832374.4799999995</v>
      </c>
      <c r="L51" s="49">
        <f t="shared" si="12"/>
        <v>40026.490000000005</v>
      </c>
      <c r="M51" s="49">
        <f t="shared" si="12"/>
        <v>1277693.620000006</v>
      </c>
      <c r="N51" s="49">
        <f t="shared" si="12"/>
        <v>551788.48</v>
      </c>
      <c r="O51" s="49">
        <f t="shared" si="12"/>
        <v>560314.329999994</v>
      </c>
      <c r="P51" s="49">
        <f t="shared" si="12"/>
        <v>1821654.3699999982</v>
      </c>
      <c r="Q51" s="49">
        <f t="shared" si="12"/>
        <v>581971.7300000011</v>
      </c>
      <c r="R51" s="49">
        <f t="shared" si="12"/>
        <v>284868.91000000003</v>
      </c>
      <c r="S51" s="49">
        <f t="shared" si="12"/>
        <v>24342.5</v>
      </c>
      <c r="T51" s="49">
        <f t="shared" si="12"/>
        <v>318119.13</v>
      </c>
      <c r="U51" s="49">
        <f t="shared" si="12"/>
        <v>94364.81000000001</v>
      </c>
      <c r="V51" s="49">
        <f t="shared" si="12"/>
        <v>23007.17</v>
      </c>
      <c r="W51" s="49">
        <f t="shared" si="12"/>
        <v>84650.70999999999</v>
      </c>
      <c r="X51" s="49">
        <f t="shared" si="12"/>
        <v>406091.64999999927</v>
      </c>
      <c r="Y51" s="49">
        <f t="shared" si="12"/>
        <v>346221.12</v>
      </c>
      <c r="Z51" s="49">
        <f t="shared" si="12"/>
        <v>3103.75</v>
      </c>
      <c r="AA51" s="49">
        <f t="shared" si="12"/>
        <v>621262.74</v>
      </c>
      <c r="AB51" s="49">
        <f t="shared" si="12"/>
        <v>64444.2</v>
      </c>
      <c r="AC51" s="49">
        <f t="shared" si="12"/>
        <v>10796.83</v>
      </c>
      <c r="AD51" s="49">
        <f t="shared" si="12"/>
        <v>277</v>
      </c>
      <c r="AE51" s="49">
        <f t="shared" si="12"/>
        <v>980</v>
      </c>
      <c r="AF51" s="49">
        <f t="shared" si="12"/>
        <v>13.58</v>
      </c>
      <c r="AG51" s="49">
        <f t="shared" si="12"/>
        <v>29649</v>
      </c>
      <c r="AH51" s="49">
        <f t="shared" si="12"/>
        <v>156.25</v>
      </c>
      <c r="AI51" s="49">
        <f t="shared" si="12"/>
        <v>22316.500000000233</v>
      </c>
      <c r="AJ51" s="49">
        <f aca="true" t="shared" si="13" ref="AJ51:BH51">SUM(AJ32,AJ41)</f>
        <v>1875</v>
      </c>
      <c r="AK51" s="49">
        <f t="shared" si="13"/>
        <v>66609.25</v>
      </c>
      <c r="AL51" s="49">
        <f t="shared" si="13"/>
        <v>19120.200000000186</v>
      </c>
      <c r="AM51" s="49">
        <f t="shared" si="13"/>
        <v>9275.57</v>
      </c>
      <c r="AN51" s="49">
        <f t="shared" si="13"/>
        <v>104192.76000000001</v>
      </c>
      <c r="AO51" s="49">
        <f t="shared" si="13"/>
        <v>1111747.3600000013</v>
      </c>
      <c r="AP51" s="49">
        <f t="shared" si="13"/>
        <v>33615.75</v>
      </c>
      <c r="AQ51" s="49">
        <f t="shared" si="13"/>
        <v>0</v>
      </c>
      <c r="AR51" s="49">
        <f t="shared" si="13"/>
        <v>36666.6</v>
      </c>
      <c r="AS51" s="49">
        <f t="shared" si="13"/>
        <v>83341.94000000105</v>
      </c>
      <c r="AT51" s="49">
        <f t="shared" si="13"/>
        <v>24673</v>
      </c>
      <c r="AU51" s="49">
        <f t="shared" si="13"/>
        <v>260765</v>
      </c>
      <c r="AV51" s="49">
        <f t="shared" si="13"/>
        <v>22804</v>
      </c>
      <c r="AW51" s="49">
        <f t="shared" si="13"/>
        <v>38335.16</v>
      </c>
      <c r="AX51" s="49">
        <f t="shared" si="13"/>
        <v>50</v>
      </c>
      <c r="AY51" s="49">
        <f t="shared" si="13"/>
        <v>29148.02000000067</v>
      </c>
      <c r="AZ51" s="49">
        <f t="shared" si="13"/>
        <v>68471.65000000037</v>
      </c>
      <c r="BA51" s="49">
        <f t="shared" si="13"/>
        <v>70646.59</v>
      </c>
      <c r="BB51" s="49">
        <f t="shared" si="13"/>
        <v>94838.20000000004</v>
      </c>
      <c r="BC51" s="49">
        <f t="shared" si="13"/>
        <v>42333</v>
      </c>
      <c r="BD51" s="49">
        <f t="shared" si="13"/>
        <v>57721.3</v>
      </c>
      <c r="BE51" s="49">
        <f t="shared" si="13"/>
        <v>60328</v>
      </c>
      <c r="BF51" s="49">
        <f t="shared" si="13"/>
        <v>44472.810000000056</v>
      </c>
      <c r="BG51" s="49">
        <f t="shared" si="13"/>
        <v>166951.60999999975</v>
      </c>
      <c r="BH51" s="49">
        <f t="shared" si="13"/>
        <v>28716</v>
      </c>
      <c r="BK51" s="57"/>
    </row>
    <row r="52" spans="1:63" s="38" customFormat="1" ht="14.25" thickBot="1" thickTop="1">
      <c r="A52" s="50" t="s">
        <v>72</v>
      </c>
      <c r="B52" s="91" t="s">
        <v>73</v>
      </c>
      <c r="C52" s="51">
        <f>SUM(D52:BH52)</f>
        <v>-7477300.250000007</v>
      </c>
      <c r="D52" s="51">
        <f aca="true" t="shared" si="14" ref="D52:AI52">D28-D51</f>
        <v>-267570.01</v>
      </c>
      <c r="E52" s="51">
        <f t="shared" si="14"/>
        <v>-300818.8400000019</v>
      </c>
      <c r="F52" s="51">
        <f t="shared" si="14"/>
        <v>1169643.7799999947</v>
      </c>
      <c r="G52" s="51">
        <f t="shared" si="14"/>
        <v>-363123.7399999985</v>
      </c>
      <c r="H52" s="51">
        <f t="shared" si="14"/>
        <v>-207387.15999999992</v>
      </c>
      <c r="I52" s="51">
        <f t="shared" si="14"/>
        <v>-1845348.7700000007</v>
      </c>
      <c r="J52" s="51">
        <f t="shared" si="14"/>
        <v>-1074317.99</v>
      </c>
      <c r="K52" s="51">
        <f t="shared" si="14"/>
        <v>586279.5200000005</v>
      </c>
      <c r="L52" s="51">
        <f t="shared" si="14"/>
        <v>1027836.9000000001</v>
      </c>
      <c r="M52" s="51">
        <f t="shared" si="14"/>
        <v>-119861.50000000605</v>
      </c>
      <c r="N52" s="51">
        <f t="shared" si="14"/>
        <v>-551788.48</v>
      </c>
      <c r="O52" s="51">
        <f t="shared" si="14"/>
        <v>-50645.309999994</v>
      </c>
      <c r="P52" s="51">
        <f t="shared" si="14"/>
        <v>-1821654.3699999982</v>
      </c>
      <c r="Q52" s="51">
        <f t="shared" si="14"/>
        <v>-368491.18000000116</v>
      </c>
      <c r="R52" s="51">
        <f t="shared" si="14"/>
        <v>-284868.91000000003</v>
      </c>
      <c r="S52" s="51">
        <f t="shared" si="14"/>
        <v>-850.1899999999987</v>
      </c>
      <c r="T52" s="51">
        <f t="shared" si="14"/>
        <v>-288626.38</v>
      </c>
      <c r="U52" s="51">
        <f t="shared" si="14"/>
        <v>-94364.81000000001</v>
      </c>
      <c r="V52" s="51">
        <f t="shared" si="14"/>
        <v>50498.880000000005</v>
      </c>
      <c r="W52" s="51">
        <f t="shared" si="14"/>
        <v>146093.77000000002</v>
      </c>
      <c r="X52" s="51">
        <f t="shared" si="14"/>
        <v>-406091.64999999927</v>
      </c>
      <c r="Y52" s="51">
        <f t="shared" si="14"/>
        <v>-346221.12</v>
      </c>
      <c r="Z52" s="51">
        <f t="shared" si="14"/>
        <v>4077.25</v>
      </c>
      <c r="AA52" s="51">
        <f t="shared" si="14"/>
        <v>-621262.74</v>
      </c>
      <c r="AB52" s="51">
        <f t="shared" si="14"/>
        <v>-64444.2</v>
      </c>
      <c r="AC52" s="51">
        <f t="shared" si="14"/>
        <v>-2636.83</v>
      </c>
      <c r="AD52" s="51">
        <f t="shared" si="14"/>
        <v>-277</v>
      </c>
      <c r="AE52" s="51">
        <f t="shared" si="14"/>
        <v>14570.880000000001</v>
      </c>
      <c r="AF52" s="51">
        <f t="shared" si="14"/>
        <v>-13.58</v>
      </c>
      <c r="AG52" s="51">
        <f t="shared" si="14"/>
        <v>-29649</v>
      </c>
      <c r="AH52" s="51">
        <f t="shared" si="14"/>
        <v>336.3</v>
      </c>
      <c r="AI52" s="51">
        <f t="shared" si="14"/>
        <v>-22316.500000000233</v>
      </c>
      <c r="AJ52" s="51">
        <f aca="true" t="shared" si="15" ref="AJ52:BH52">AJ28-AJ51</f>
        <v>-1331.5</v>
      </c>
      <c r="AK52" s="51">
        <f t="shared" si="15"/>
        <v>83390.75</v>
      </c>
      <c r="AL52" s="51">
        <f t="shared" si="15"/>
        <v>-19120.200000000186</v>
      </c>
      <c r="AM52" s="51">
        <f t="shared" si="15"/>
        <v>-9275.57</v>
      </c>
      <c r="AN52" s="51">
        <f t="shared" si="15"/>
        <v>-104192.76000000001</v>
      </c>
      <c r="AO52" s="51">
        <f t="shared" si="15"/>
        <v>-1111747.3600000013</v>
      </c>
      <c r="AP52" s="51">
        <f t="shared" si="15"/>
        <v>-33615.75</v>
      </c>
      <c r="AQ52" s="51">
        <f t="shared" si="15"/>
        <v>0</v>
      </c>
      <c r="AR52" s="51">
        <f t="shared" si="15"/>
        <v>-36666.6</v>
      </c>
      <c r="AS52" s="51">
        <f t="shared" si="15"/>
        <v>-83341.94000000105</v>
      </c>
      <c r="AT52" s="51">
        <f t="shared" si="15"/>
        <v>-24673</v>
      </c>
      <c r="AU52" s="51">
        <f t="shared" si="15"/>
        <v>-223697.1</v>
      </c>
      <c r="AV52" s="51">
        <f t="shared" si="15"/>
        <v>-22804</v>
      </c>
      <c r="AW52" s="51">
        <f t="shared" si="15"/>
        <v>-38335.16</v>
      </c>
      <c r="AX52" s="51">
        <f t="shared" si="15"/>
        <v>-50</v>
      </c>
      <c r="AY52" s="51">
        <f t="shared" si="15"/>
        <v>220149.72999999934</v>
      </c>
      <c r="AZ52" s="51">
        <f t="shared" si="15"/>
        <v>112380.59999999963</v>
      </c>
      <c r="BA52" s="51">
        <f t="shared" si="15"/>
        <v>-68606.59</v>
      </c>
      <c r="BB52" s="51">
        <f t="shared" si="15"/>
        <v>-94763.20000000004</v>
      </c>
      <c r="BC52" s="51">
        <f t="shared" si="15"/>
        <v>-42333</v>
      </c>
      <c r="BD52" s="51">
        <f t="shared" si="15"/>
        <v>-57721.3</v>
      </c>
      <c r="BE52" s="51">
        <f t="shared" si="15"/>
        <v>-60328</v>
      </c>
      <c r="BF52" s="51">
        <f t="shared" si="15"/>
        <v>-44472.810000000056</v>
      </c>
      <c r="BG52" s="51">
        <f t="shared" si="15"/>
        <v>322098.4900000002</v>
      </c>
      <c r="BH52" s="51">
        <f t="shared" si="15"/>
        <v>-4951</v>
      </c>
      <c r="BK52" s="57"/>
    </row>
    <row r="53" ht="13.5" thickTop="1">
      <c r="AW53" s="3"/>
    </row>
    <row r="54" ht="12.75">
      <c r="AO54" s="3" t="s">
        <v>90</v>
      </c>
    </row>
    <row r="55" ht="12.75">
      <c r="D55" s="58"/>
    </row>
    <row r="56" ht="12.75">
      <c r="D56" s="58"/>
    </row>
    <row r="57" ht="12.75">
      <c r="D57" s="58"/>
    </row>
    <row r="58" ht="12.75">
      <c r="D58" s="58"/>
    </row>
  </sheetData>
  <sheetProtection/>
  <printOptions horizontalCentered="1"/>
  <pageMargins left="0.1968503937007874" right="0" top="0.5905511811023623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2018-04-05T11:55:54Z</cp:lastPrinted>
  <dcterms:created xsi:type="dcterms:W3CDTF">2006-01-13T12:10:48Z</dcterms:created>
  <dcterms:modified xsi:type="dcterms:W3CDTF">2018-06-14T20:30:53Z</dcterms:modified>
  <cp:category/>
  <cp:version/>
  <cp:contentType/>
  <cp:contentStatus/>
</cp:coreProperties>
</file>