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-57" sheetId="1" r:id="rId1"/>
    <sheet name="List4" sheetId="2" r:id="rId2"/>
    <sheet name="List5" sheetId="3" r:id="rId3"/>
    <sheet name="List6" sheetId="4" r:id="rId4"/>
    <sheet name="List7" sheetId="5" r:id="rId5"/>
    <sheet name="List8" sheetId="6" r:id="rId6"/>
    <sheet name="List9" sheetId="7" r:id="rId7"/>
    <sheet name="List10" sheetId="8" r:id="rId8"/>
  </sheets>
  <definedNames>
    <definedName name="_xlnm.Print_Titles" localSheetId="0">'1-57'!$A:$B</definedName>
  </definedNames>
  <calcPr fullCalcOnLoad="1"/>
</workbook>
</file>

<file path=xl/sharedStrings.xml><?xml version="1.0" encoding="utf-8"?>
<sst xmlns="http://schemas.openxmlformats.org/spreadsheetml/2006/main" count="98" uniqueCount="96">
  <si>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</si>
  <si>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</si>
  <si>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</si>
  <si>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</si>
  <si>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</si>
  <si>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</si>
  <si>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</si>
  <si>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</si>
  <si>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</si>
  <si>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</si>
  <si>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</si>
  <si>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</si>
  <si>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</si>
  <si>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</si>
  <si>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</si>
  <si>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</si>
  <si>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</si>
  <si>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</si>
  <si>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</si>
  <si>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</si>
  <si>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</si>
  <si>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</si>
  <si>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</si>
  <si>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</si>
  <si>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</si>
  <si>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</si>
  <si>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</si>
  <si>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</si>
  <si>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</si>
  <si>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</si>
  <si>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</si>
  <si>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</si>
  <si>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</si>
  <si>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</si>
  <si>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</si>
  <si>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</si>
  <si>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</si>
  <si>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</si>
  <si>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</si>
  <si>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</si>
  <si>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</si>
  <si>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</si>
  <si>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</si>
  <si>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</si>
  <si>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</si>
  <si>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</si>
  <si>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</si>
  <si>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</si>
  <si>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</si>
  <si>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</si>
  <si>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</si>
  <si>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</si>
  <si>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</si>
  <si>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</si>
  <si>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</si>
  <si>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</si>
  <si>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</si>
  <si>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</si>
  <si>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</si>
  <si>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</si>
  <si>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2.</t>
  </si>
  <si>
    <t>A: ZDROJE z finančního vypořádání</t>
  </si>
  <si>
    <t>3.</t>
  </si>
  <si>
    <t>Dorovnání dotací SR  c e l k e m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</si>
  <si>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</si>
  <si>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</si>
  <si>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</si>
  <si>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</si>
  <si>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</si>
  <si>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</si>
  <si>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</si>
  <si>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Odvody HMP   c e l k e m</t>
  </si>
  <si>
    <t xml:space="preserve">             poštovné   ÚZ 98031</t>
  </si>
  <si>
    <t xml:space="preserve">            zkoušky zvláštní odborné způsobilosti</t>
  </si>
  <si>
    <t>1.</t>
  </si>
  <si>
    <t>z toho: příspěvek na péči    ÚZ 13235</t>
  </si>
  <si>
    <t xml:space="preserve">             sociální dávky ZP a HN   ÚZ 13306</t>
  </si>
  <si>
    <t xml:space="preserve">         PŘEHLED FINANČNÍHO VYPOŘÁDÁNÍ            </t>
  </si>
  <si>
    <t>MČ celkem</t>
  </si>
  <si>
    <t>v Kč</t>
  </si>
  <si>
    <t>ZA ROK 2007 S MČ HL. M. PRAHY</t>
  </si>
  <si>
    <t xml:space="preserve">            doplatky daně z nemovitosti (dle údajů DPC MHMP)</t>
  </si>
  <si>
    <t xml:space="preserve">               doplatky místních poplatků</t>
  </si>
  <si>
    <t xml:space="preserve">             sociálně právní ochrana dětí  ÚZ 98216</t>
  </si>
  <si>
    <t>sociálně právní ochrana dětí  ÚZ 98216 (doplatek dle bodu 3a Informace MF)</t>
  </si>
  <si>
    <t>Úhrn zdrojů fin. vypořádání   (ř.1 a ř.2)</t>
  </si>
  <si>
    <t>Úhrn potřeb (ř.4 a ř.5)</t>
  </si>
  <si>
    <t>Saldo FV (ř.3 - ř.6)</t>
  </si>
  <si>
    <t>z toho: přeplatky místních poplatků</t>
  </si>
  <si>
    <t xml:space="preserve">nedočerp.dotace poskytnutá městskou částí hl.m. Praze (pol. 4129,4229)                                                                                                                                                    </t>
  </si>
  <si>
    <t xml:space="preserve">             poštovného    98031</t>
  </si>
  <si>
    <t xml:space="preserve">             ostat.účel.prostř. MF ČR-kap.VPS</t>
  </si>
  <si>
    <t xml:space="preserve">             účel prostř.ost.rezotr.min./st.fondům</t>
  </si>
  <si>
    <t>z toho: účelové prostř. r. 2006</t>
  </si>
  <si>
    <t xml:space="preserve">           účelové prostř. r. 2007</t>
  </si>
  <si>
    <t>účelové prostř.r.2007, kde zdrojem krytí byla dotace ze SR (ÚZ 34054)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</si>
</sst>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0" fillId="0" borderId="12" xfId="0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 wrapText="1" indent="3"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 wrapText="1" indent="4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P47"/>
  <sheetViews>
    <sheetView tabSelected="1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"/>
    </sheetView>
  </sheetViews>
  <sheetFormatPr defaultColWidth="9.00390625" defaultRowHeight="12.75"/>
  <cols>
    <col min="1" max="1" width="3.875" style="0" customWidth="1"/>
    <col min="2" max="2" width="47.875" style="0" customWidth="1"/>
    <col min="3" max="3" width="15.00390625" style="3" bestFit="1" customWidth="1"/>
    <col min="4" max="4" width="12.875" style="3" bestFit="1" customWidth="1"/>
    <col min="5" max="5" width="14.00390625" style="3" bestFit="1" customWidth="1"/>
    <col min="6" max="7" width="12.875" style="3" bestFit="1" customWidth="1"/>
    <col min="8" max="8" width="13.75390625" style="3" customWidth="1"/>
    <col min="9" max="9" width="13.625" style="3" customWidth="1"/>
    <col min="10" max="10" width="13.375" style="3" bestFit="1" customWidth="1"/>
    <col min="11" max="11" width="14.00390625" style="3" customWidth="1"/>
    <col min="12" max="12" width="13.625" style="3" customWidth="1"/>
    <col min="13" max="13" width="13.375" style="3" customWidth="1"/>
    <col min="14" max="14" width="12.875" style="3" bestFit="1" customWidth="1"/>
    <col min="15" max="15" width="14.00390625" style="3" bestFit="1" customWidth="1"/>
    <col min="16" max="17" width="12.875" style="3" customWidth="1"/>
    <col min="18" max="18" width="13.25390625" style="3" customWidth="1"/>
    <col min="19" max="19" width="12.875" style="3" bestFit="1" customWidth="1"/>
    <col min="20" max="20" width="12.625" style="3" customWidth="1"/>
    <col min="21" max="21" width="12.875" style="3" customWidth="1"/>
    <col min="22" max="22" width="12.875" style="3" bestFit="1" customWidth="1"/>
    <col min="23" max="23" width="13.75390625" style="3" customWidth="1"/>
    <col min="24" max="24" width="13.00390625" style="3" customWidth="1"/>
    <col min="25" max="25" width="12.625" style="3" customWidth="1"/>
    <col min="26" max="26" width="10.25390625" style="3" bestFit="1" customWidth="1"/>
    <col min="27" max="27" width="8.625" style="3" customWidth="1"/>
    <col min="28" max="28" width="12.375" style="3" customWidth="1"/>
    <col min="29" max="29" width="11.375" style="3" customWidth="1"/>
    <col min="30" max="30" width="9.375" style="3" customWidth="1"/>
    <col min="31" max="31" width="9.625" style="3" customWidth="1"/>
    <col min="32" max="32" width="11.875" style="3" bestFit="1" customWidth="1"/>
    <col min="33" max="34" width="11.625" style="3" customWidth="1"/>
    <col min="35" max="35" width="12.25390625" style="3" customWidth="1"/>
    <col min="36" max="36" width="9.125" style="3" customWidth="1"/>
    <col min="37" max="37" width="9.875" style="3" customWidth="1"/>
    <col min="38" max="38" width="9.00390625" style="3" customWidth="1"/>
    <col min="39" max="39" width="9.75390625" style="3" bestFit="1" customWidth="1"/>
    <col min="40" max="40" width="10.625" style="3" customWidth="1"/>
    <col min="41" max="41" width="12.125" style="3" customWidth="1"/>
    <col min="42" max="42" width="12.25390625" style="3" customWidth="1"/>
    <col min="43" max="43" width="8.25390625" style="3" customWidth="1"/>
    <col min="44" max="44" width="10.00390625" style="3" customWidth="1"/>
    <col min="45" max="45" width="9.75390625" style="3" bestFit="1" customWidth="1"/>
    <col min="46" max="46" width="7.875" style="3" customWidth="1"/>
    <col min="47" max="47" width="12.25390625" style="3" customWidth="1"/>
    <col min="48" max="48" width="10.625" style="3" customWidth="1"/>
    <col min="49" max="49" width="12.375" style="4" customWidth="1"/>
    <col min="50" max="50" width="9.625" style="3" customWidth="1"/>
    <col min="51" max="51" width="11.25390625" style="3" bestFit="1" customWidth="1"/>
    <col min="52" max="53" width="9.75390625" style="3" bestFit="1" customWidth="1"/>
    <col min="54" max="54" width="12.375" style="3" customWidth="1"/>
    <col min="55" max="55" width="10.875" style="3" customWidth="1"/>
    <col min="56" max="56" width="12.875" style="3" bestFit="1" customWidth="1"/>
    <col min="57" max="57" width="10.125" style="3" bestFit="1" customWidth="1"/>
    <col min="58" max="58" width="10.25390625" style="3" bestFit="1" customWidth="1"/>
    <col min="59" max="59" width="10.75390625" style="3" customWidth="1"/>
    <col min="60" max="60" width="10.75390625" style="3" bestFit="1" customWidth="1"/>
    <col min="61" max="61" width="10.75390625" style="0" customWidth="1"/>
    <col min="62" max="62" width="11.75390625" style="0" bestFit="1" customWidth="1"/>
    <col min="63" max="65" width="10.75390625" style="0" customWidth="1"/>
  </cols>
  <sheetData>
    <row r="4" spans="2:60" ht="12.75">
      <c r="B4" s="67" t="s">
        <v>77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5" t="s">
        <v>80</v>
      </c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5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2.75">
      <c r="B7" s="5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2:60" ht="13.5" thickBot="1">
      <c r="B8" s="6"/>
      <c r="C8" s="1"/>
      <c r="D8" s="2"/>
      <c r="H8" s="2"/>
      <c r="L8" s="2"/>
      <c r="P8" s="2"/>
      <c r="T8" s="2"/>
      <c r="X8" s="2"/>
      <c r="AB8" s="2"/>
      <c r="AF8" s="2"/>
      <c r="AJ8" s="2"/>
      <c r="AN8" s="2"/>
      <c r="AR8" s="2"/>
      <c r="AV8" s="2"/>
      <c r="AZ8" s="2"/>
      <c r="BD8" s="2"/>
      <c r="BH8" s="2"/>
    </row>
    <row r="9" spans="1:70" ht="12.75">
      <c r="A9" s="7" t="s">
        <v>0</v>
      </c>
      <c r="B9" s="8" t="s">
        <v>1</v>
      </c>
      <c r="C9" s="9" t="s">
        <v>78</v>
      </c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9">
        <v>24</v>
      </c>
      <c r="AB9" s="9">
        <v>25</v>
      </c>
      <c r="AC9" s="9">
        <v>26</v>
      </c>
      <c r="AD9" s="9">
        <v>27</v>
      </c>
      <c r="AE9" s="9">
        <v>28</v>
      </c>
      <c r="AF9" s="9">
        <v>29</v>
      </c>
      <c r="AG9" s="9">
        <v>30</v>
      </c>
      <c r="AH9" s="9">
        <v>31</v>
      </c>
      <c r="AI9" s="9">
        <v>32</v>
      </c>
      <c r="AJ9" s="9">
        <v>33</v>
      </c>
      <c r="AK9" s="9">
        <v>34</v>
      </c>
      <c r="AL9" s="9">
        <v>35</v>
      </c>
      <c r="AM9" s="9">
        <v>36</v>
      </c>
      <c r="AN9" s="9">
        <v>37</v>
      </c>
      <c r="AO9" s="9">
        <v>38</v>
      </c>
      <c r="AP9" s="9">
        <v>39</v>
      </c>
      <c r="AQ9" s="9">
        <v>40</v>
      </c>
      <c r="AR9" s="9">
        <v>41</v>
      </c>
      <c r="AS9" s="9">
        <v>42</v>
      </c>
      <c r="AT9" s="9">
        <v>43</v>
      </c>
      <c r="AU9" s="9">
        <v>44</v>
      </c>
      <c r="AV9" s="9">
        <v>45</v>
      </c>
      <c r="AW9" s="10">
        <v>46</v>
      </c>
      <c r="AX9" s="9">
        <v>47</v>
      </c>
      <c r="AY9" s="9">
        <v>48</v>
      </c>
      <c r="AZ9" s="9">
        <v>49</v>
      </c>
      <c r="BA9" s="9">
        <v>50</v>
      </c>
      <c r="BB9" s="9">
        <v>51</v>
      </c>
      <c r="BC9" s="9">
        <v>52</v>
      </c>
      <c r="BD9" s="9">
        <v>53</v>
      </c>
      <c r="BE9" s="9">
        <v>54</v>
      </c>
      <c r="BF9" s="9">
        <v>55</v>
      </c>
      <c r="BG9" s="9">
        <v>56</v>
      </c>
      <c r="BH9" s="9">
        <v>57</v>
      </c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 ht="13.5" thickBot="1">
      <c r="A10" s="12" t="s">
        <v>2</v>
      </c>
      <c r="B10" s="13"/>
      <c r="C10" s="14" t="s">
        <v>79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  <c r="R10" s="14" t="s">
        <v>17</v>
      </c>
      <c r="S10" s="14" t="s">
        <v>18</v>
      </c>
      <c r="T10" s="14" t="s">
        <v>19</v>
      </c>
      <c r="U10" s="14" t="s">
        <v>20</v>
      </c>
      <c r="V10" s="14" t="s">
        <v>21</v>
      </c>
      <c r="W10" s="14" t="s">
        <v>22</v>
      </c>
      <c r="X10" s="14" t="s">
        <v>23</v>
      </c>
      <c r="Y10" s="14" t="s">
        <v>24</v>
      </c>
      <c r="Z10" s="14" t="s">
        <v>25</v>
      </c>
      <c r="AA10" s="14" t="s">
        <v>26</v>
      </c>
      <c r="AB10" s="14" t="s">
        <v>27</v>
      </c>
      <c r="AC10" s="14" t="s">
        <v>28</v>
      </c>
      <c r="AD10" s="14" t="s">
        <v>29</v>
      </c>
      <c r="AE10" s="14" t="s">
        <v>30</v>
      </c>
      <c r="AF10" s="14" t="s">
        <v>31</v>
      </c>
      <c r="AG10" s="14" t="s">
        <v>32</v>
      </c>
      <c r="AH10" s="14" t="s">
        <v>33</v>
      </c>
      <c r="AI10" s="14" t="s">
        <v>34</v>
      </c>
      <c r="AJ10" s="14" t="s">
        <v>35</v>
      </c>
      <c r="AK10" s="14" t="s">
        <v>36</v>
      </c>
      <c r="AL10" s="14" t="s">
        <v>37</v>
      </c>
      <c r="AM10" s="14" t="s">
        <v>38</v>
      </c>
      <c r="AN10" s="14" t="s">
        <v>39</v>
      </c>
      <c r="AO10" s="14" t="s">
        <v>40</v>
      </c>
      <c r="AP10" s="14" t="s">
        <v>41</v>
      </c>
      <c r="AQ10" s="14" t="s">
        <v>42</v>
      </c>
      <c r="AR10" s="14" t="s">
        <v>43</v>
      </c>
      <c r="AS10" s="14" t="s">
        <v>44</v>
      </c>
      <c r="AT10" s="14" t="s">
        <v>45</v>
      </c>
      <c r="AU10" s="14" t="s">
        <v>46</v>
      </c>
      <c r="AV10" s="14" t="s">
        <v>47</v>
      </c>
      <c r="AW10" s="15" t="s">
        <v>48</v>
      </c>
      <c r="AX10" s="14" t="s">
        <v>49</v>
      </c>
      <c r="AY10" s="14" t="s">
        <v>50</v>
      </c>
      <c r="AZ10" s="14" t="s">
        <v>51</v>
      </c>
      <c r="BA10" s="14" t="s">
        <v>52</v>
      </c>
      <c r="BB10" s="14" t="s">
        <v>53</v>
      </c>
      <c r="BC10" s="14" t="s">
        <v>54</v>
      </c>
      <c r="BD10" s="14" t="s">
        <v>55</v>
      </c>
      <c r="BE10" s="14" t="s">
        <v>56</v>
      </c>
      <c r="BF10" s="14" t="s">
        <v>57</v>
      </c>
      <c r="BG10" s="14" t="s">
        <v>58</v>
      </c>
      <c r="BH10" s="14" t="s">
        <v>59</v>
      </c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60" ht="13.5" thickTop="1">
      <c r="A11" s="21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60" ht="12.75">
      <c r="A12" s="21"/>
      <c r="B12" s="25" t="s">
        <v>61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1:60" ht="12.75">
      <c r="A13" s="16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28" customFormat="1" ht="12.75">
      <c r="A14" s="26" t="s">
        <v>74</v>
      </c>
      <c r="B14" s="25" t="s">
        <v>63</v>
      </c>
      <c r="C14" s="17">
        <f>SUM(D14:BH14)</f>
        <v>2374788</v>
      </c>
      <c r="D14" s="27">
        <f aca="true" t="shared" si="0" ref="D14:AI14">SUM(D15:D18)</f>
        <v>0</v>
      </c>
      <c r="E14" s="27">
        <f t="shared" si="0"/>
        <v>51657</v>
      </c>
      <c r="F14" s="27">
        <f t="shared" si="0"/>
        <v>21546.5</v>
      </c>
      <c r="G14" s="27">
        <f t="shared" si="0"/>
        <v>344000</v>
      </c>
      <c r="H14" s="27">
        <f t="shared" si="0"/>
        <v>425</v>
      </c>
      <c r="I14" s="27">
        <f t="shared" si="0"/>
        <v>1379852</v>
      </c>
      <c r="J14" s="27">
        <f t="shared" si="0"/>
        <v>0</v>
      </c>
      <c r="K14" s="27">
        <f t="shared" si="0"/>
        <v>83345</v>
      </c>
      <c r="L14" s="27">
        <f t="shared" si="0"/>
        <v>0</v>
      </c>
      <c r="M14" s="27">
        <f t="shared" si="0"/>
        <v>218315</v>
      </c>
      <c r="N14" s="27">
        <f t="shared" si="0"/>
        <v>70404</v>
      </c>
      <c r="O14" s="27">
        <f t="shared" si="0"/>
        <v>34454</v>
      </c>
      <c r="P14" s="27">
        <f t="shared" si="0"/>
        <v>0</v>
      </c>
      <c r="Q14" s="27">
        <f t="shared" si="0"/>
        <v>108820</v>
      </c>
      <c r="R14" s="27">
        <f t="shared" si="0"/>
        <v>22965.5</v>
      </c>
      <c r="S14" s="27">
        <f t="shared" si="0"/>
        <v>132.5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22009</v>
      </c>
      <c r="X14" s="27">
        <f t="shared" si="0"/>
        <v>0</v>
      </c>
      <c r="Y14" s="27">
        <f t="shared" si="0"/>
        <v>16862.5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aca="true" t="shared" si="1" ref="AJ14:BH14">SUM(AJ15:AJ18)</f>
        <v>0</v>
      </c>
      <c r="AK14" s="27">
        <f t="shared" si="1"/>
        <v>0</v>
      </c>
      <c r="AL14" s="27">
        <f t="shared" si="1"/>
        <v>0</v>
      </c>
      <c r="AM14" s="27">
        <f t="shared" si="1"/>
        <v>0</v>
      </c>
      <c r="AN14" s="27">
        <f t="shared" si="1"/>
        <v>0</v>
      </c>
      <c r="AO14" s="27">
        <f t="shared" si="1"/>
        <v>0</v>
      </c>
      <c r="AP14" s="27">
        <f t="shared" si="1"/>
        <v>0</v>
      </c>
      <c r="AQ14" s="27">
        <f t="shared" si="1"/>
        <v>0</v>
      </c>
      <c r="AR14" s="27">
        <f t="shared" si="1"/>
        <v>0</v>
      </c>
      <c r="AS14" s="27">
        <f t="shared" si="1"/>
        <v>0</v>
      </c>
      <c r="AT14" s="27">
        <f t="shared" si="1"/>
        <v>0</v>
      </c>
      <c r="AU14" s="27">
        <f t="shared" si="1"/>
        <v>0</v>
      </c>
      <c r="AV14" s="27">
        <f t="shared" si="1"/>
        <v>0</v>
      </c>
      <c r="AW14" s="27">
        <f t="shared" si="1"/>
        <v>0</v>
      </c>
      <c r="AX14" s="27">
        <f t="shared" si="1"/>
        <v>0</v>
      </c>
      <c r="AY14" s="27">
        <f t="shared" si="1"/>
        <v>0</v>
      </c>
      <c r="AZ14" s="27">
        <f t="shared" si="1"/>
        <v>0</v>
      </c>
      <c r="BA14" s="27">
        <f t="shared" si="1"/>
        <v>0</v>
      </c>
      <c r="BB14" s="27">
        <f t="shared" si="1"/>
        <v>0</v>
      </c>
      <c r="BC14" s="27">
        <f t="shared" si="1"/>
        <v>0</v>
      </c>
      <c r="BD14" s="27">
        <f t="shared" si="1"/>
        <v>0</v>
      </c>
      <c r="BE14" s="27">
        <f t="shared" si="1"/>
        <v>0</v>
      </c>
      <c r="BF14" s="27">
        <f t="shared" si="1"/>
        <v>0</v>
      </c>
      <c r="BG14" s="27">
        <f t="shared" si="1"/>
        <v>0</v>
      </c>
      <c r="BH14" s="27">
        <f t="shared" si="1"/>
        <v>0</v>
      </c>
    </row>
    <row r="15" spans="1:60" ht="12.75">
      <c r="A15" s="29"/>
      <c r="B15" s="64" t="s">
        <v>75</v>
      </c>
      <c r="C15" s="17">
        <f>SUM(D15:BH15)</f>
        <v>1535000</v>
      </c>
      <c r="D15" s="18"/>
      <c r="E15" s="18"/>
      <c r="F15" s="18"/>
      <c r="G15" s="18">
        <v>344000</v>
      </c>
      <c r="H15" s="18"/>
      <c r="I15" s="18">
        <v>1191000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2.75">
      <c r="A16" s="30"/>
      <c r="B16" s="63" t="s">
        <v>76</v>
      </c>
      <c r="C16" s="17">
        <f>SUM(D16:BH16)</f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</row>
    <row r="17" spans="1:60" ht="12.75">
      <c r="A17" s="30"/>
      <c r="B17" s="63" t="s">
        <v>72</v>
      </c>
      <c r="C17" s="17">
        <f>SUM(D17:BH17)</f>
        <v>839788</v>
      </c>
      <c r="D17" s="24"/>
      <c r="E17" s="24">
        <v>51657</v>
      </c>
      <c r="F17" s="24">
        <v>21546.5</v>
      </c>
      <c r="G17" s="24"/>
      <c r="H17" s="24">
        <v>425</v>
      </c>
      <c r="I17" s="24">
        <v>188852</v>
      </c>
      <c r="J17" s="24"/>
      <c r="K17" s="24">
        <v>83345</v>
      </c>
      <c r="L17" s="24"/>
      <c r="M17" s="24">
        <v>218315</v>
      </c>
      <c r="N17" s="24">
        <v>70404</v>
      </c>
      <c r="O17" s="24">
        <v>34454</v>
      </c>
      <c r="P17" s="24"/>
      <c r="Q17" s="24">
        <v>108820</v>
      </c>
      <c r="R17" s="24">
        <v>22965.5</v>
      </c>
      <c r="S17" s="24">
        <v>132.5</v>
      </c>
      <c r="T17" s="24"/>
      <c r="U17" s="24"/>
      <c r="V17" s="24"/>
      <c r="W17" s="24">
        <v>22009</v>
      </c>
      <c r="X17" s="24"/>
      <c r="Y17" s="24">
        <v>16862.5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60" ht="24">
      <c r="A18" s="30"/>
      <c r="B18" s="68" t="s">
        <v>84</v>
      </c>
      <c r="C18" s="17">
        <f>SUM(D18:BH18)</f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ht="12.75">
      <c r="A19" s="30"/>
      <c r="B19" s="30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 s="28" customFormat="1" ht="12.75">
      <c r="A20" s="31" t="s">
        <v>60</v>
      </c>
      <c r="B20" s="31" t="s">
        <v>65</v>
      </c>
      <c r="C20" s="17">
        <f>SUM(D20:BH20)</f>
        <v>4494524.330000001</v>
      </c>
      <c r="D20" s="23">
        <f aca="true" t="shared" si="2" ref="D20:AI20">SUM(D21:D24)</f>
        <v>60651</v>
      </c>
      <c r="E20" s="23">
        <f t="shared" si="2"/>
        <v>357305.09</v>
      </c>
      <c r="F20" s="23">
        <f t="shared" si="2"/>
        <v>76361.31</v>
      </c>
      <c r="G20" s="23">
        <f t="shared" si="2"/>
        <v>1073393</v>
      </c>
      <c r="H20" s="23">
        <f t="shared" si="2"/>
        <v>51893.92</v>
      </c>
      <c r="I20" s="23">
        <f t="shared" si="2"/>
        <v>1.07</v>
      </c>
      <c r="J20" s="23">
        <f t="shared" si="2"/>
        <v>0</v>
      </c>
      <c r="K20" s="23">
        <f t="shared" si="2"/>
        <v>0</v>
      </c>
      <c r="L20" s="23">
        <f t="shared" si="2"/>
        <v>232057.44</v>
      </c>
      <c r="M20" s="23">
        <f t="shared" si="2"/>
        <v>46992.39</v>
      </c>
      <c r="N20" s="23">
        <f t="shared" si="2"/>
        <v>1362422.16</v>
      </c>
      <c r="O20" s="23">
        <f t="shared" si="2"/>
        <v>109500.2</v>
      </c>
      <c r="P20" s="23">
        <f t="shared" si="2"/>
        <v>0</v>
      </c>
      <c r="Q20" s="23">
        <f t="shared" si="2"/>
        <v>190136.33</v>
      </c>
      <c r="R20" s="23">
        <f t="shared" si="2"/>
        <v>32640.48</v>
      </c>
      <c r="S20" s="23">
        <f t="shared" si="2"/>
        <v>0</v>
      </c>
      <c r="T20" s="23">
        <f t="shared" si="2"/>
        <v>0</v>
      </c>
      <c r="U20" s="23">
        <f t="shared" si="2"/>
        <v>14644.62</v>
      </c>
      <c r="V20" s="23">
        <f t="shared" si="2"/>
        <v>2572.86</v>
      </c>
      <c r="W20" s="23">
        <f t="shared" si="2"/>
        <v>63190.35</v>
      </c>
      <c r="X20" s="23">
        <f t="shared" si="2"/>
        <v>5035.17</v>
      </c>
      <c r="Y20" s="23">
        <f t="shared" si="2"/>
        <v>73214.95999999999</v>
      </c>
      <c r="Z20" s="23">
        <f t="shared" si="2"/>
        <v>135.97</v>
      </c>
      <c r="AA20" s="23">
        <f t="shared" si="2"/>
        <v>2899.47</v>
      </c>
      <c r="AB20" s="23">
        <f t="shared" si="2"/>
        <v>0</v>
      </c>
      <c r="AC20" s="23">
        <f t="shared" si="2"/>
        <v>20812.6</v>
      </c>
      <c r="AD20" s="23">
        <f t="shared" si="2"/>
        <v>1125</v>
      </c>
      <c r="AE20" s="23">
        <f t="shared" si="2"/>
        <v>0</v>
      </c>
      <c r="AF20" s="23">
        <f t="shared" si="2"/>
        <v>0</v>
      </c>
      <c r="AG20" s="23">
        <f t="shared" si="2"/>
        <v>21147.05</v>
      </c>
      <c r="AH20" s="23">
        <f t="shared" si="2"/>
        <v>0</v>
      </c>
      <c r="AI20" s="23">
        <f t="shared" si="2"/>
        <v>43145.83</v>
      </c>
      <c r="AJ20" s="23">
        <f aca="true" t="shared" si="3" ref="AJ20:BH20">SUM(AJ21:AJ24)</f>
        <v>0.3</v>
      </c>
      <c r="AK20" s="23">
        <f t="shared" si="3"/>
        <v>0</v>
      </c>
      <c r="AL20" s="23">
        <f t="shared" si="3"/>
        <v>0</v>
      </c>
      <c r="AM20" s="23">
        <f t="shared" si="3"/>
        <v>1974.69</v>
      </c>
      <c r="AN20" s="23">
        <f t="shared" si="3"/>
        <v>462870.85</v>
      </c>
      <c r="AO20" s="23">
        <f t="shared" si="3"/>
        <v>50528.57</v>
      </c>
      <c r="AP20" s="23">
        <f t="shared" si="3"/>
        <v>0</v>
      </c>
      <c r="AQ20" s="23">
        <f t="shared" si="3"/>
        <v>0</v>
      </c>
      <c r="AR20" s="23">
        <f t="shared" si="3"/>
        <v>0</v>
      </c>
      <c r="AS20" s="23">
        <f t="shared" si="3"/>
        <v>0</v>
      </c>
      <c r="AT20" s="23">
        <f t="shared" si="3"/>
        <v>0</v>
      </c>
      <c r="AU20" s="23">
        <f t="shared" si="3"/>
        <v>23504.1</v>
      </c>
      <c r="AV20" s="23">
        <f t="shared" si="3"/>
        <v>0</v>
      </c>
      <c r="AW20" s="23">
        <f t="shared" si="3"/>
        <v>0</v>
      </c>
      <c r="AX20" s="23">
        <f t="shared" si="3"/>
        <v>12268.73</v>
      </c>
      <c r="AY20" s="23">
        <f t="shared" si="3"/>
        <v>43.75</v>
      </c>
      <c r="AZ20" s="23">
        <f t="shared" si="3"/>
        <v>0</v>
      </c>
      <c r="BA20" s="23">
        <f t="shared" si="3"/>
        <v>33270.43</v>
      </c>
      <c r="BB20" s="23">
        <f t="shared" si="3"/>
        <v>4884.6</v>
      </c>
      <c r="BC20" s="23">
        <f t="shared" si="3"/>
        <v>0.65</v>
      </c>
      <c r="BD20" s="23">
        <f t="shared" si="3"/>
        <v>57715.2</v>
      </c>
      <c r="BE20" s="23">
        <f t="shared" si="3"/>
        <v>612.5</v>
      </c>
      <c r="BF20" s="23">
        <f t="shared" si="3"/>
        <v>5571.19</v>
      </c>
      <c r="BG20" s="23">
        <f t="shared" si="3"/>
        <v>0.5</v>
      </c>
      <c r="BH20" s="23">
        <f t="shared" si="3"/>
        <v>0</v>
      </c>
    </row>
    <row r="21" spans="1:60" ht="12.75">
      <c r="A21" s="30"/>
      <c r="B21" s="63" t="s">
        <v>88</v>
      </c>
      <c r="C21" s="17">
        <f>SUM(D21:BH21)</f>
        <v>32277.5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>
        <v>18109.5</v>
      </c>
      <c r="Z21" s="24"/>
      <c r="AA21" s="24"/>
      <c r="AB21" s="24"/>
      <c r="AC21" s="24"/>
      <c r="AD21" s="24">
        <v>1125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>
        <v>43.75</v>
      </c>
      <c r="AZ21" s="24"/>
      <c r="BA21" s="24">
        <v>12386.25</v>
      </c>
      <c r="BB21" s="24"/>
      <c r="BC21" s="24"/>
      <c r="BD21" s="24"/>
      <c r="BE21" s="24">
        <v>612.5</v>
      </c>
      <c r="BF21" s="24"/>
      <c r="BG21" s="24">
        <v>0.5</v>
      </c>
      <c r="BH21" s="24"/>
    </row>
    <row r="22" spans="1:62" s="32" customFormat="1" ht="12.75">
      <c r="A22" s="30"/>
      <c r="B22" s="63" t="s">
        <v>81</v>
      </c>
      <c r="C22" s="23">
        <f>SUM(D22:BH22)</f>
        <v>4291381.910000001</v>
      </c>
      <c r="D22" s="24">
        <v>60651</v>
      </c>
      <c r="E22" s="24">
        <v>265423.09</v>
      </c>
      <c r="F22" s="24">
        <v>76361.31</v>
      </c>
      <c r="G22" s="24">
        <v>1073393</v>
      </c>
      <c r="H22" s="24"/>
      <c r="I22" s="24">
        <v>1.07</v>
      </c>
      <c r="J22" s="24"/>
      <c r="K22" s="24"/>
      <c r="L22" s="24">
        <v>232057.44</v>
      </c>
      <c r="M22" s="24">
        <v>46992.39</v>
      </c>
      <c r="N22" s="24">
        <v>1362422.16</v>
      </c>
      <c r="O22" s="24">
        <v>109500.2</v>
      </c>
      <c r="P22" s="24"/>
      <c r="Q22" s="24">
        <v>190136.33</v>
      </c>
      <c r="R22" s="24">
        <v>32640.48</v>
      </c>
      <c r="S22" s="24"/>
      <c r="T22" s="24"/>
      <c r="U22" s="24">
        <v>14644.62</v>
      </c>
      <c r="V22" s="24">
        <v>2572.86</v>
      </c>
      <c r="W22" s="24">
        <v>36101.35</v>
      </c>
      <c r="X22" s="24">
        <v>5035.17</v>
      </c>
      <c r="Y22" s="24">
        <v>55105.46</v>
      </c>
      <c r="Z22" s="24">
        <v>135.97</v>
      </c>
      <c r="AA22" s="24">
        <v>2899.47</v>
      </c>
      <c r="AB22" s="24"/>
      <c r="AC22" s="24">
        <v>20812.6</v>
      </c>
      <c r="AD22" s="24"/>
      <c r="AE22" s="24"/>
      <c r="AF22" s="24"/>
      <c r="AG22" s="24">
        <v>21147.05</v>
      </c>
      <c r="AH22" s="24"/>
      <c r="AI22" s="24">
        <v>43145.83</v>
      </c>
      <c r="AJ22" s="24">
        <v>0.3</v>
      </c>
      <c r="AK22" s="24"/>
      <c r="AL22" s="24"/>
      <c r="AM22" s="24">
        <v>1974.69</v>
      </c>
      <c r="AN22" s="24">
        <v>462870.85</v>
      </c>
      <c r="AO22" s="24">
        <v>50528.57</v>
      </c>
      <c r="AP22" s="24"/>
      <c r="AQ22" s="24"/>
      <c r="AR22" s="24"/>
      <c r="AS22" s="24"/>
      <c r="AT22" s="24"/>
      <c r="AU22" s="24">
        <v>23504.1</v>
      </c>
      <c r="AV22" s="24"/>
      <c r="AW22" s="24"/>
      <c r="AX22" s="24">
        <v>12268.73</v>
      </c>
      <c r="AY22" s="24"/>
      <c r="AZ22" s="24"/>
      <c r="BA22" s="24">
        <v>20884.18</v>
      </c>
      <c r="BB22" s="24">
        <v>4884.6</v>
      </c>
      <c r="BC22" s="24">
        <v>0.65</v>
      </c>
      <c r="BD22" s="24">
        <v>57715.2</v>
      </c>
      <c r="BE22" s="24"/>
      <c r="BF22" s="24">
        <v>5571.19</v>
      </c>
      <c r="BG22" s="24"/>
      <c r="BH22" s="24"/>
      <c r="BJ22" s="65"/>
    </row>
    <row r="23" spans="1:60" s="36" customFormat="1" ht="12.75">
      <c r="A23" s="34"/>
      <c r="B23" s="63" t="s">
        <v>73</v>
      </c>
      <c r="C23" s="33">
        <f>SUM(D23:BH23)</f>
        <v>118971</v>
      </c>
      <c r="D23" s="35"/>
      <c r="E23" s="35">
        <v>91882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>
        <v>27089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120" s="36" customFormat="1" ht="24">
      <c r="A24" s="34"/>
      <c r="B24" s="68" t="s">
        <v>89</v>
      </c>
      <c r="C24" s="66">
        <f>SUM(D24:BH24)</f>
        <v>51893.92</v>
      </c>
      <c r="D24" s="35"/>
      <c r="E24" s="35"/>
      <c r="F24" s="35"/>
      <c r="G24" s="35"/>
      <c r="H24" s="35">
        <v>51893.92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</row>
    <row r="25" spans="1:60" ht="13.5" thickBot="1">
      <c r="A25" s="19"/>
      <c r="B25" s="21"/>
      <c r="C25" s="1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s="39" customFormat="1" ht="14.25" thickBot="1" thickTop="1">
      <c r="A26" s="37" t="s">
        <v>62</v>
      </c>
      <c r="B26" s="37" t="s">
        <v>85</v>
      </c>
      <c r="C26" s="38">
        <f>SUM(D26:BH26)</f>
        <v>6869312.33</v>
      </c>
      <c r="D26" s="38">
        <f aca="true" t="shared" si="4" ref="D26:AI26">SUM(D14,D20)</f>
        <v>60651</v>
      </c>
      <c r="E26" s="38">
        <f t="shared" si="4"/>
        <v>408962.09</v>
      </c>
      <c r="F26" s="38">
        <f t="shared" si="4"/>
        <v>97907.81</v>
      </c>
      <c r="G26" s="38">
        <f t="shared" si="4"/>
        <v>1417393</v>
      </c>
      <c r="H26" s="38">
        <f t="shared" si="4"/>
        <v>52318.92</v>
      </c>
      <c r="I26" s="38">
        <f t="shared" si="4"/>
        <v>1379853.07</v>
      </c>
      <c r="J26" s="38">
        <f t="shared" si="4"/>
        <v>0</v>
      </c>
      <c r="K26" s="38">
        <f t="shared" si="4"/>
        <v>83345</v>
      </c>
      <c r="L26" s="38">
        <f t="shared" si="4"/>
        <v>232057.44</v>
      </c>
      <c r="M26" s="38">
        <f t="shared" si="4"/>
        <v>265307.39</v>
      </c>
      <c r="N26" s="38">
        <f t="shared" si="4"/>
        <v>1432826.16</v>
      </c>
      <c r="O26" s="38">
        <f t="shared" si="4"/>
        <v>143954.2</v>
      </c>
      <c r="P26" s="38">
        <f t="shared" si="4"/>
        <v>0</v>
      </c>
      <c r="Q26" s="38">
        <f t="shared" si="4"/>
        <v>298956.32999999996</v>
      </c>
      <c r="R26" s="38">
        <f t="shared" si="4"/>
        <v>55605.979999999996</v>
      </c>
      <c r="S26" s="38">
        <f t="shared" si="4"/>
        <v>132.5</v>
      </c>
      <c r="T26" s="38">
        <f t="shared" si="4"/>
        <v>0</v>
      </c>
      <c r="U26" s="38">
        <f t="shared" si="4"/>
        <v>14644.62</v>
      </c>
      <c r="V26" s="38">
        <f t="shared" si="4"/>
        <v>2572.86</v>
      </c>
      <c r="W26" s="38">
        <f t="shared" si="4"/>
        <v>85199.35</v>
      </c>
      <c r="X26" s="38">
        <f t="shared" si="4"/>
        <v>5035.17</v>
      </c>
      <c r="Y26" s="38">
        <f t="shared" si="4"/>
        <v>90077.45999999999</v>
      </c>
      <c r="Z26" s="38">
        <f t="shared" si="4"/>
        <v>135.97</v>
      </c>
      <c r="AA26" s="38">
        <f t="shared" si="4"/>
        <v>2899.47</v>
      </c>
      <c r="AB26" s="38">
        <f t="shared" si="4"/>
        <v>0</v>
      </c>
      <c r="AC26" s="38">
        <f t="shared" si="4"/>
        <v>20812.6</v>
      </c>
      <c r="AD26" s="38">
        <f t="shared" si="4"/>
        <v>1125</v>
      </c>
      <c r="AE26" s="38">
        <f t="shared" si="4"/>
        <v>0</v>
      </c>
      <c r="AF26" s="38">
        <f t="shared" si="4"/>
        <v>0</v>
      </c>
      <c r="AG26" s="38">
        <f t="shared" si="4"/>
        <v>21147.05</v>
      </c>
      <c r="AH26" s="38">
        <f t="shared" si="4"/>
        <v>0</v>
      </c>
      <c r="AI26" s="38">
        <f t="shared" si="4"/>
        <v>43145.83</v>
      </c>
      <c r="AJ26" s="38">
        <f aca="true" t="shared" si="5" ref="AJ26:BH26">SUM(AJ14,AJ20)</f>
        <v>0.3</v>
      </c>
      <c r="AK26" s="38">
        <f t="shared" si="5"/>
        <v>0</v>
      </c>
      <c r="AL26" s="38">
        <f t="shared" si="5"/>
        <v>0</v>
      </c>
      <c r="AM26" s="38">
        <f t="shared" si="5"/>
        <v>1974.69</v>
      </c>
      <c r="AN26" s="38">
        <f t="shared" si="5"/>
        <v>462870.85</v>
      </c>
      <c r="AO26" s="38">
        <f t="shared" si="5"/>
        <v>50528.57</v>
      </c>
      <c r="AP26" s="38">
        <f t="shared" si="5"/>
        <v>0</v>
      </c>
      <c r="AQ26" s="38">
        <f t="shared" si="5"/>
        <v>0</v>
      </c>
      <c r="AR26" s="38">
        <f t="shared" si="5"/>
        <v>0</v>
      </c>
      <c r="AS26" s="38">
        <f t="shared" si="5"/>
        <v>0</v>
      </c>
      <c r="AT26" s="38">
        <f t="shared" si="5"/>
        <v>0</v>
      </c>
      <c r="AU26" s="38">
        <f t="shared" si="5"/>
        <v>23504.1</v>
      </c>
      <c r="AV26" s="38">
        <f t="shared" si="5"/>
        <v>0</v>
      </c>
      <c r="AW26" s="38">
        <f t="shared" si="5"/>
        <v>0</v>
      </c>
      <c r="AX26" s="38">
        <f t="shared" si="5"/>
        <v>12268.73</v>
      </c>
      <c r="AY26" s="38">
        <f t="shared" si="5"/>
        <v>43.75</v>
      </c>
      <c r="AZ26" s="38">
        <f t="shared" si="5"/>
        <v>0</v>
      </c>
      <c r="BA26" s="38">
        <f t="shared" si="5"/>
        <v>33270.43</v>
      </c>
      <c r="BB26" s="38">
        <f t="shared" si="5"/>
        <v>4884.6</v>
      </c>
      <c r="BC26" s="38">
        <f t="shared" si="5"/>
        <v>0.65</v>
      </c>
      <c r="BD26" s="38">
        <f t="shared" si="5"/>
        <v>57715.2</v>
      </c>
      <c r="BE26" s="38">
        <f t="shared" si="5"/>
        <v>612.5</v>
      </c>
      <c r="BF26" s="38">
        <f t="shared" si="5"/>
        <v>5571.19</v>
      </c>
      <c r="BG26" s="38">
        <f t="shared" si="5"/>
        <v>0.5</v>
      </c>
      <c r="BH26" s="38">
        <f t="shared" si="5"/>
        <v>0</v>
      </c>
    </row>
    <row r="27" spans="1:60" s="43" customFormat="1" ht="13.5" thickTop="1">
      <c r="A27" s="40"/>
      <c r="B27" s="41"/>
      <c r="C27" s="27"/>
      <c r="D27" s="42"/>
      <c r="E27" s="60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1:60" ht="12.75">
      <c r="A28" s="44"/>
      <c r="B28" s="45" t="s">
        <v>67</v>
      </c>
      <c r="C28" s="17"/>
      <c r="D28" s="46"/>
      <c r="E28" s="1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</row>
    <row r="29" spans="1:60" ht="12.75">
      <c r="A29" s="44"/>
      <c r="B29" s="16"/>
      <c r="C29" s="17"/>
      <c r="D29" s="46"/>
      <c r="E29" s="1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</row>
    <row r="30" spans="1:60" s="28" customFormat="1" ht="12.75">
      <c r="A30" s="47" t="s">
        <v>64</v>
      </c>
      <c r="B30" s="45" t="s">
        <v>69</v>
      </c>
      <c r="C30" s="17">
        <f aca="true" t="shared" si="6" ref="C30:C36">SUM(D30:BH30)</f>
        <v>117520715.20999998</v>
      </c>
      <c r="D30" s="48">
        <f>SUM(D31:D36)</f>
        <v>3769833.35</v>
      </c>
      <c r="E30" s="17">
        <f aca="true" t="shared" si="7" ref="E30:BH30">SUM(E31:E36)</f>
        <v>7740556.76</v>
      </c>
      <c r="F30" s="48">
        <f t="shared" si="7"/>
        <v>5218991.5</v>
      </c>
      <c r="G30" s="48">
        <f t="shared" si="7"/>
        <v>5507079.88</v>
      </c>
      <c r="H30" s="48">
        <f t="shared" si="7"/>
        <v>16595128</v>
      </c>
      <c r="I30" s="48">
        <f t="shared" si="7"/>
        <v>5670360.49</v>
      </c>
      <c r="J30" s="48">
        <f t="shared" si="7"/>
        <v>3772858.58</v>
      </c>
      <c r="K30" s="48">
        <f t="shared" si="7"/>
        <v>6182489.1</v>
      </c>
      <c r="L30" s="48">
        <f t="shared" si="7"/>
        <v>9755190.3</v>
      </c>
      <c r="M30" s="48">
        <f t="shared" si="7"/>
        <v>12456213.89</v>
      </c>
      <c r="N30" s="48">
        <f t="shared" si="7"/>
        <v>6085531.16</v>
      </c>
      <c r="O30" s="48">
        <f t="shared" si="7"/>
        <v>11708272</v>
      </c>
      <c r="P30" s="48">
        <f t="shared" si="7"/>
        <v>1634667.85</v>
      </c>
      <c r="Q30" s="48">
        <f t="shared" si="7"/>
        <v>1981369.3499999999</v>
      </c>
      <c r="R30" s="48">
        <f t="shared" si="7"/>
        <v>1970361</v>
      </c>
      <c r="S30" s="48">
        <f t="shared" si="7"/>
        <v>1220588</v>
      </c>
      <c r="T30" s="48">
        <f t="shared" si="7"/>
        <v>2353033</v>
      </c>
      <c r="U30" s="48">
        <f t="shared" si="7"/>
        <v>651608</v>
      </c>
      <c r="V30" s="48">
        <f t="shared" si="7"/>
        <v>1218301</v>
      </c>
      <c r="W30" s="48">
        <f t="shared" si="7"/>
        <v>8681280</v>
      </c>
      <c r="X30" s="48">
        <f t="shared" si="7"/>
        <v>1754240</v>
      </c>
      <c r="Y30" s="48">
        <f t="shared" si="7"/>
        <v>1592762</v>
      </c>
      <c r="Z30" s="48">
        <f t="shared" si="7"/>
        <v>0</v>
      </c>
      <c r="AA30" s="48">
        <f>SUM(AA31:AA37)</f>
        <v>0</v>
      </c>
      <c r="AB30" s="48">
        <f t="shared" si="7"/>
        <v>0</v>
      </c>
      <c r="AC30" s="48">
        <f t="shared" si="7"/>
        <v>0</v>
      </c>
      <c r="AD30" s="48">
        <f t="shared" si="7"/>
        <v>0</v>
      </c>
      <c r="AE30" s="48">
        <f t="shared" si="7"/>
        <v>0</v>
      </c>
      <c r="AF30" s="48">
        <f t="shared" si="7"/>
        <v>0</v>
      </c>
      <c r="AG30" s="48">
        <f t="shared" si="7"/>
        <v>0</v>
      </c>
      <c r="AH30" s="48">
        <f t="shared" si="7"/>
        <v>0</v>
      </c>
      <c r="AI30" s="48">
        <f t="shared" si="7"/>
        <v>0</v>
      </c>
      <c r="AJ30" s="48">
        <f t="shared" si="7"/>
        <v>0</v>
      </c>
      <c r="AK30" s="48">
        <f t="shared" si="7"/>
        <v>0</v>
      </c>
      <c r="AL30" s="48">
        <f t="shared" si="7"/>
        <v>0</v>
      </c>
      <c r="AM30" s="48">
        <f t="shared" si="7"/>
        <v>0</v>
      </c>
      <c r="AN30" s="48">
        <f t="shared" si="7"/>
        <v>0</v>
      </c>
      <c r="AO30" s="48">
        <f t="shared" si="7"/>
        <v>0</v>
      </c>
      <c r="AP30" s="48">
        <f t="shared" si="7"/>
        <v>0</v>
      </c>
      <c r="AQ30" s="48">
        <f t="shared" si="7"/>
        <v>0</v>
      </c>
      <c r="AR30" s="48">
        <f t="shared" si="7"/>
        <v>0</v>
      </c>
      <c r="AS30" s="48">
        <f t="shared" si="7"/>
        <v>0</v>
      </c>
      <c r="AT30" s="48">
        <f t="shared" si="7"/>
        <v>0</v>
      </c>
      <c r="AU30" s="48">
        <f t="shared" si="7"/>
        <v>0</v>
      </c>
      <c r="AV30" s="48">
        <f t="shared" si="7"/>
        <v>0</v>
      </c>
      <c r="AW30" s="48">
        <f t="shared" si="7"/>
        <v>0</v>
      </c>
      <c r="AX30" s="48">
        <f t="shared" si="7"/>
        <v>0</v>
      </c>
      <c r="AY30" s="48">
        <f t="shared" si="7"/>
        <v>0</v>
      </c>
      <c r="AZ30" s="48">
        <f t="shared" si="7"/>
        <v>0</v>
      </c>
      <c r="BA30" s="48">
        <f t="shared" si="7"/>
        <v>0</v>
      </c>
      <c r="BB30" s="48">
        <f t="shared" si="7"/>
        <v>0</v>
      </c>
      <c r="BC30" s="48">
        <f t="shared" si="7"/>
        <v>0</v>
      </c>
      <c r="BD30" s="48">
        <f t="shared" si="7"/>
        <v>0</v>
      </c>
      <c r="BE30" s="48">
        <f t="shared" si="7"/>
        <v>0</v>
      </c>
      <c r="BF30" s="48">
        <f t="shared" si="7"/>
        <v>0</v>
      </c>
      <c r="BG30" s="48">
        <f t="shared" si="7"/>
        <v>0</v>
      </c>
      <c r="BH30" s="48">
        <f t="shared" si="7"/>
        <v>0</v>
      </c>
    </row>
    <row r="31" spans="1:60" ht="12.75">
      <c r="A31" s="44"/>
      <c r="B31" s="64" t="s">
        <v>75</v>
      </c>
      <c r="C31" s="17">
        <f t="shared" si="6"/>
        <v>35327781</v>
      </c>
      <c r="D31" s="46">
        <v>1694000</v>
      </c>
      <c r="E31" s="18">
        <v>1509000</v>
      </c>
      <c r="F31" s="46">
        <v>2313000</v>
      </c>
      <c r="G31" s="46"/>
      <c r="H31" s="46">
        <v>5588500</v>
      </c>
      <c r="I31" s="46"/>
      <c r="J31" s="46">
        <v>1257712</v>
      </c>
      <c r="K31" s="46">
        <v>4911000</v>
      </c>
      <c r="L31" s="46">
        <v>1149000</v>
      </c>
      <c r="M31" s="46">
        <v>7075000</v>
      </c>
      <c r="N31" s="46">
        <v>1615000</v>
      </c>
      <c r="O31" s="46">
        <v>2925000</v>
      </c>
      <c r="P31" s="46">
        <v>438000</v>
      </c>
      <c r="Q31" s="46">
        <v>610872</v>
      </c>
      <c r="R31" s="46">
        <v>658000</v>
      </c>
      <c r="S31" s="46">
        <v>923000</v>
      </c>
      <c r="T31" s="46">
        <v>539000</v>
      </c>
      <c r="U31" s="46">
        <v>159097</v>
      </c>
      <c r="V31" s="46">
        <v>410600</v>
      </c>
      <c r="W31" s="46">
        <v>180000</v>
      </c>
      <c r="X31" s="46">
        <v>837000</v>
      </c>
      <c r="Y31" s="46">
        <v>535000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ht="12.75">
      <c r="A32" s="44"/>
      <c r="B32" s="63" t="s">
        <v>76</v>
      </c>
      <c r="C32" s="17">
        <f t="shared" si="6"/>
        <v>66980578.6</v>
      </c>
      <c r="D32" s="46">
        <v>1327108</v>
      </c>
      <c r="E32" s="18">
        <v>5857578</v>
      </c>
      <c r="F32" s="46">
        <v>2002111</v>
      </c>
      <c r="G32" s="46">
        <v>989706</v>
      </c>
      <c r="H32" s="46">
        <v>10929168</v>
      </c>
      <c r="I32" s="46">
        <v>3368109</v>
      </c>
      <c r="J32" s="46">
        <v>1009222</v>
      </c>
      <c r="K32" s="46">
        <v>1227041.1</v>
      </c>
      <c r="L32" s="46">
        <v>8487908</v>
      </c>
      <c r="M32" s="46">
        <v>3620378</v>
      </c>
      <c r="N32" s="46">
        <v>2640595.5</v>
      </c>
      <c r="O32" s="46">
        <v>8761604</v>
      </c>
      <c r="P32" s="46">
        <v>1139091</v>
      </c>
      <c r="Q32" s="46">
        <v>1138151</v>
      </c>
      <c r="R32" s="46">
        <v>1312361</v>
      </c>
      <c r="S32" s="46">
        <v>297587</v>
      </c>
      <c r="T32" s="46">
        <v>1574979</v>
      </c>
      <c r="U32" s="46">
        <v>489009</v>
      </c>
      <c r="V32" s="46">
        <v>798907</v>
      </c>
      <c r="W32" s="46">
        <v>8038492</v>
      </c>
      <c r="X32" s="46">
        <v>913711</v>
      </c>
      <c r="Y32" s="46">
        <v>1057762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ht="12.75">
      <c r="A33" s="44"/>
      <c r="B33" s="69" t="s">
        <v>90</v>
      </c>
      <c r="C33" s="17">
        <f t="shared" si="6"/>
        <v>467026.5</v>
      </c>
      <c r="D33" s="46">
        <v>4621.5</v>
      </c>
      <c r="E33" s="18"/>
      <c r="F33" s="46"/>
      <c r="G33" s="46">
        <v>326564</v>
      </c>
      <c r="H33" s="46"/>
      <c r="I33" s="46"/>
      <c r="J33" s="46">
        <v>11568</v>
      </c>
      <c r="K33" s="46"/>
      <c r="L33" s="46">
        <v>4679</v>
      </c>
      <c r="M33" s="46"/>
      <c r="N33" s="46"/>
      <c r="O33" s="46"/>
      <c r="P33" s="46">
        <v>2476</v>
      </c>
      <c r="Q33" s="46"/>
      <c r="R33" s="46"/>
      <c r="S33" s="46"/>
      <c r="T33" s="46">
        <v>101405</v>
      </c>
      <c r="U33" s="46">
        <v>3502</v>
      </c>
      <c r="V33" s="46">
        <v>8786</v>
      </c>
      <c r="W33" s="46"/>
      <c r="X33" s="46">
        <v>3425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ht="12.75">
      <c r="A34" s="44"/>
      <c r="B34" s="63" t="s">
        <v>83</v>
      </c>
      <c r="C34" s="17">
        <f t="shared" si="6"/>
        <v>13414425.51</v>
      </c>
      <c r="D34" s="46">
        <v>577811</v>
      </c>
      <c r="E34" s="18">
        <v>340490.06</v>
      </c>
      <c r="F34" s="46">
        <v>878260</v>
      </c>
      <c r="G34" s="46">
        <v>4139114.88</v>
      </c>
      <c r="H34" s="46"/>
      <c r="I34" s="46">
        <v>2294569.49</v>
      </c>
      <c r="J34" s="46">
        <v>1482209.58</v>
      </c>
      <c r="K34" s="46"/>
      <c r="L34" s="46"/>
      <c r="M34" s="46">
        <v>1755050.89</v>
      </c>
      <c r="N34" s="46">
        <v>1829935.66</v>
      </c>
      <c r="O34" s="46"/>
      <c r="P34" s="46">
        <v>932.25</v>
      </c>
      <c r="Q34" s="46">
        <v>77057.7</v>
      </c>
      <c r="R34" s="46"/>
      <c r="S34" s="46"/>
      <c r="T34" s="46">
        <v>162</v>
      </c>
      <c r="U34" s="46"/>
      <c r="V34" s="46"/>
      <c r="W34" s="46">
        <v>38778</v>
      </c>
      <c r="X34" s="46">
        <v>54</v>
      </c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1:60" s="52" customFormat="1" ht="12.75">
      <c r="A35" s="49"/>
      <c r="B35" s="69" t="s">
        <v>91</v>
      </c>
      <c r="C35" s="50">
        <f t="shared" si="6"/>
        <v>738611.1000000001</v>
      </c>
      <c r="D35" s="51">
        <v>162853.85</v>
      </c>
      <c r="E35" s="61">
        <v>2462.7</v>
      </c>
      <c r="F35" s="51"/>
      <c r="G35" s="51">
        <v>949</v>
      </c>
      <c r="H35" s="51">
        <v>77460</v>
      </c>
      <c r="I35" s="51"/>
      <c r="J35" s="51"/>
      <c r="K35" s="51">
        <v>1757</v>
      </c>
      <c r="L35" s="51">
        <v>3603.3</v>
      </c>
      <c r="M35" s="51">
        <v>853</v>
      </c>
      <c r="N35" s="51"/>
      <c r="O35" s="51"/>
      <c r="P35" s="51">
        <v>6396.6</v>
      </c>
      <c r="Q35" s="51">
        <v>58206.65</v>
      </c>
      <c r="R35" s="51"/>
      <c r="S35" s="51">
        <v>1</v>
      </c>
      <c r="T35" s="51"/>
      <c r="U35" s="51"/>
      <c r="V35" s="51">
        <v>8</v>
      </c>
      <c r="W35" s="51">
        <v>424010</v>
      </c>
      <c r="X35" s="51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</row>
    <row r="36" spans="1:60" ht="12.75">
      <c r="A36" s="44"/>
      <c r="B36" s="70" t="s">
        <v>92</v>
      </c>
      <c r="C36" s="17">
        <f t="shared" si="6"/>
        <v>592292.5</v>
      </c>
      <c r="D36" s="46">
        <v>3439</v>
      </c>
      <c r="E36" s="18">
        <v>31026</v>
      </c>
      <c r="F36" s="46">
        <v>25620.5</v>
      </c>
      <c r="G36" s="46">
        <v>50746</v>
      </c>
      <c r="H36" s="46"/>
      <c r="I36" s="46">
        <v>7682</v>
      </c>
      <c r="J36" s="46">
        <v>12147</v>
      </c>
      <c r="K36" s="46">
        <v>42691</v>
      </c>
      <c r="L36" s="46">
        <v>110000</v>
      </c>
      <c r="M36" s="46">
        <v>4932</v>
      </c>
      <c r="N36" s="46"/>
      <c r="O36" s="46">
        <v>21668</v>
      </c>
      <c r="P36" s="46">
        <v>47772</v>
      </c>
      <c r="Q36" s="46">
        <v>97082</v>
      </c>
      <c r="R36" s="46"/>
      <c r="S36" s="46"/>
      <c r="T36" s="46">
        <v>137487</v>
      </c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ht="12.75">
      <c r="A37" s="44"/>
      <c r="B37" s="16"/>
      <c r="C37" s="17"/>
      <c r="D37" s="46"/>
      <c r="E37" s="18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s="28" customFormat="1" ht="12.75">
      <c r="A38" s="53" t="s">
        <v>66</v>
      </c>
      <c r="B38" s="45" t="s">
        <v>71</v>
      </c>
      <c r="C38" s="17">
        <f>SUM(D38:BH38)</f>
        <v>15643832.110000001</v>
      </c>
      <c r="D38" s="48">
        <f aca="true" t="shared" si="8" ref="D38:AI38">SUM(D39:D42)</f>
        <v>125718.88</v>
      </c>
      <c r="E38" s="17">
        <f t="shared" si="8"/>
        <v>146639.1400000002</v>
      </c>
      <c r="F38" s="48">
        <f t="shared" si="8"/>
        <v>155706</v>
      </c>
      <c r="G38" s="48">
        <f t="shared" si="8"/>
        <v>1790078.46</v>
      </c>
      <c r="H38" s="48">
        <f t="shared" si="8"/>
        <v>109056.39</v>
      </c>
      <c r="I38" s="48">
        <f t="shared" si="8"/>
        <v>222417.90000000017</v>
      </c>
      <c r="J38" s="48">
        <f t="shared" si="8"/>
        <v>298932.65</v>
      </c>
      <c r="K38" s="48">
        <f t="shared" si="8"/>
        <v>808475.53</v>
      </c>
      <c r="L38" s="48">
        <f t="shared" si="8"/>
        <v>127517</v>
      </c>
      <c r="M38" s="48">
        <f t="shared" si="8"/>
        <v>268892.28</v>
      </c>
      <c r="N38" s="48">
        <f t="shared" si="8"/>
        <v>115312.25</v>
      </c>
      <c r="O38" s="48">
        <f t="shared" si="8"/>
        <v>133053.53000000003</v>
      </c>
      <c r="P38" s="48">
        <f t="shared" si="8"/>
        <v>87555.66</v>
      </c>
      <c r="Q38" s="48">
        <f t="shared" si="8"/>
        <v>796314.7899999998</v>
      </c>
      <c r="R38" s="48">
        <f>SUM(R39:R42)</f>
        <v>92518.9299999997</v>
      </c>
      <c r="S38" s="48">
        <f t="shared" si="8"/>
        <v>116095</v>
      </c>
      <c r="T38" s="48">
        <f t="shared" si="8"/>
        <v>133443.21</v>
      </c>
      <c r="U38" s="48">
        <f t="shared" si="8"/>
        <v>5800957.45</v>
      </c>
      <c r="V38" s="48">
        <f t="shared" si="8"/>
        <v>151765.87</v>
      </c>
      <c r="W38" s="48">
        <f t="shared" si="8"/>
        <v>589047.6</v>
      </c>
      <c r="X38" s="48">
        <f t="shared" si="8"/>
        <v>9758.75</v>
      </c>
      <c r="Y38" s="48">
        <f t="shared" si="8"/>
        <v>54690</v>
      </c>
      <c r="Z38" s="48">
        <f t="shared" si="8"/>
        <v>18295.5</v>
      </c>
      <c r="AA38" s="48">
        <f t="shared" si="8"/>
        <v>0</v>
      </c>
      <c r="AB38" s="48">
        <f t="shared" si="8"/>
        <v>287.5</v>
      </c>
      <c r="AC38" s="48">
        <f t="shared" si="8"/>
        <v>32819.25</v>
      </c>
      <c r="AD38" s="48">
        <f t="shared" si="8"/>
        <v>4420</v>
      </c>
      <c r="AE38" s="48">
        <f t="shared" si="8"/>
        <v>3759</v>
      </c>
      <c r="AF38" s="48">
        <f t="shared" si="8"/>
        <v>0</v>
      </c>
      <c r="AG38" s="48">
        <f t="shared" si="8"/>
        <v>75</v>
      </c>
      <c r="AH38" s="48">
        <f t="shared" si="8"/>
        <v>28690</v>
      </c>
      <c r="AI38" s="48">
        <f t="shared" si="8"/>
        <v>54048.88</v>
      </c>
      <c r="AJ38" s="48">
        <f aca="true" t="shared" si="9" ref="AJ38:BH38">SUM(AJ39:AJ42)</f>
        <v>2997.5</v>
      </c>
      <c r="AK38" s="48">
        <f t="shared" si="9"/>
        <v>53490.75</v>
      </c>
      <c r="AL38" s="48">
        <f t="shared" si="9"/>
        <v>3651.4</v>
      </c>
      <c r="AM38" s="48">
        <f t="shared" si="9"/>
        <v>15125</v>
      </c>
      <c r="AN38" s="48">
        <f t="shared" si="9"/>
        <v>16532</v>
      </c>
      <c r="AO38" s="48">
        <f t="shared" si="9"/>
        <v>24514.5</v>
      </c>
      <c r="AP38" s="48">
        <f t="shared" si="9"/>
        <v>20175.000000000233</v>
      </c>
      <c r="AQ38" s="48">
        <f t="shared" si="9"/>
        <v>350</v>
      </c>
      <c r="AR38" s="48">
        <f t="shared" si="9"/>
        <v>29500</v>
      </c>
      <c r="AS38" s="48">
        <f t="shared" si="9"/>
        <v>11374.25</v>
      </c>
      <c r="AT38" s="48">
        <f t="shared" si="9"/>
        <v>822.5</v>
      </c>
      <c r="AU38" s="48">
        <f t="shared" si="9"/>
        <v>2042144</v>
      </c>
      <c r="AV38" s="48">
        <f t="shared" si="9"/>
        <v>576.75</v>
      </c>
      <c r="AW38" s="48">
        <f t="shared" si="9"/>
        <v>498476.8</v>
      </c>
      <c r="AX38" s="48">
        <f t="shared" si="9"/>
        <v>0</v>
      </c>
      <c r="AY38" s="48">
        <f t="shared" si="9"/>
        <v>0</v>
      </c>
      <c r="AZ38" s="48">
        <f t="shared" si="9"/>
        <v>8000</v>
      </c>
      <c r="BA38" s="48">
        <f t="shared" si="9"/>
        <v>0</v>
      </c>
      <c r="BB38" s="48">
        <f t="shared" si="9"/>
        <v>0</v>
      </c>
      <c r="BC38" s="48">
        <f t="shared" si="9"/>
        <v>20031.26</v>
      </c>
      <c r="BD38" s="48">
        <f t="shared" si="9"/>
        <v>545271.75</v>
      </c>
      <c r="BE38" s="48">
        <f t="shared" si="9"/>
        <v>0</v>
      </c>
      <c r="BF38" s="48">
        <f t="shared" si="9"/>
        <v>45018.75</v>
      </c>
      <c r="BG38" s="48">
        <f t="shared" si="9"/>
        <v>19400</v>
      </c>
      <c r="BH38" s="48">
        <f t="shared" si="9"/>
        <v>10037.5</v>
      </c>
    </row>
    <row r="39" spans="1:60" ht="12.75">
      <c r="A39" s="44"/>
      <c r="B39" s="16" t="s">
        <v>93</v>
      </c>
      <c r="C39" s="17">
        <f>SUM(D39:BH39)</f>
        <v>8436910.120000001</v>
      </c>
      <c r="D39" s="46"/>
      <c r="E39" s="18">
        <f>8758222.5-8758222.5</f>
        <v>0</v>
      </c>
      <c r="F39" s="46"/>
      <c r="G39" s="46"/>
      <c r="H39" s="46"/>
      <c r="I39" s="46"/>
      <c r="J39" s="46"/>
      <c r="K39" s="46">
        <f>5641625-5000000</f>
        <v>641625</v>
      </c>
      <c r="L39" s="46"/>
      <c r="M39" s="46"/>
      <c r="N39" s="46"/>
      <c r="O39" s="46">
        <v>739</v>
      </c>
      <c r="P39" s="46">
        <v>394</v>
      </c>
      <c r="Q39" s="46">
        <v>460878.91</v>
      </c>
      <c r="R39" s="46"/>
      <c r="S39" s="46"/>
      <c r="T39" s="46">
        <v>10873</v>
      </c>
      <c r="U39" s="46">
        <v>5743923.5</v>
      </c>
      <c r="V39" s="46"/>
      <c r="W39" s="46">
        <v>535949.91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>
        <v>498476.8</v>
      </c>
      <c r="AX39" s="46"/>
      <c r="AY39" s="46"/>
      <c r="AZ39" s="46"/>
      <c r="BA39" s="46"/>
      <c r="BB39" s="46"/>
      <c r="BC39" s="46"/>
      <c r="BD39" s="46">
        <f>1658744-1114694</f>
        <v>544050</v>
      </c>
      <c r="BE39" s="46"/>
      <c r="BF39" s="46"/>
      <c r="BG39" s="46"/>
      <c r="BH39" s="46"/>
    </row>
    <row r="40" spans="1:60" ht="12.75">
      <c r="A40" s="44"/>
      <c r="B40" s="16" t="s">
        <v>94</v>
      </c>
      <c r="C40" s="17">
        <f>SUM(D40:BH40)</f>
        <v>6296435.42</v>
      </c>
      <c r="D40" s="46">
        <f>152350-30000</f>
        <v>122350</v>
      </c>
      <c r="E40" s="18">
        <f>3922536.7-3854901</f>
        <v>67635.70000000019</v>
      </c>
      <c r="F40" s="46">
        <v>83494.5</v>
      </c>
      <c r="G40" s="46">
        <f>1952183.15-164800</f>
        <v>1787383.15</v>
      </c>
      <c r="H40" s="46">
        <v>74792</v>
      </c>
      <c r="I40" s="46">
        <f>6886260.7-3000000-3356483.5-401342.2</f>
        <v>128435.00000000017</v>
      </c>
      <c r="J40" s="46">
        <v>33780.4</v>
      </c>
      <c r="K40" s="46">
        <f>36388-22362</f>
        <v>14026</v>
      </c>
      <c r="L40" s="46">
        <f>516263.85-401504.85</f>
        <v>114759</v>
      </c>
      <c r="M40" s="46">
        <v>246905.88</v>
      </c>
      <c r="N40" s="46">
        <f>5063832.5-5000000</f>
        <v>63832.5</v>
      </c>
      <c r="O40" s="46">
        <f>898516.03-783000</f>
        <v>115516.03000000003</v>
      </c>
      <c r="P40" s="46">
        <v>81609.16</v>
      </c>
      <c r="Q40" s="46">
        <f>6299689.88-1192938-4778243.5</f>
        <v>328508.3799999999</v>
      </c>
      <c r="R40" s="46">
        <f>13332174.08-12541784.9-700000</f>
        <v>90389.1799999997</v>
      </c>
      <c r="S40" s="46">
        <f>1987789.5-336912-150817.5-1000000-390500</f>
        <v>109560</v>
      </c>
      <c r="T40" s="46">
        <f>2118140.5-2000000</f>
        <v>118140.5</v>
      </c>
      <c r="U40" s="46">
        <f>88212.2-50000</f>
        <v>38212.2</v>
      </c>
      <c r="V40" s="46">
        <f>449930-301450</f>
        <v>148480</v>
      </c>
      <c r="W40" s="46">
        <f>1578945.94-1545035</f>
        <v>33910.939999999944</v>
      </c>
      <c r="X40" s="46">
        <f>48574.21-39199.21</f>
        <v>9375</v>
      </c>
      <c r="Y40" s="46">
        <v>54690</v>
      </c>
      <c r="Z40" s="46">
        <v>16495.5</v>
      </c>
      <c r="AA40" s="46"/>
      <c r="AB40" s="46">
        <f>2094298-2094298</f>
        <v>0</v>
      </c>
      <c r="AC40" s="46">
        <f>360995-328595</f>
        <v>32400</v>
      </c>
      <c r="AD40" s="46">
        <v>4420</v>
      </c>
      <c r="AE40" s="46"/>
      <c r="AF40" s="46"/>
      <c r="AG40" s="46"/>
      <c r="AH40" s="46">
        <f>328171.8-299481.8</f>
        <v>28690</v>
      </c>
      <c r="AI40" s="46">
        <f>3189768.5-1064672-915000-1160051</f>
        <v>50045.5</v>
      </c>
      <c r="AJ40" s="46">
        <v>2997.5</v>
      </c>
      <c r="AK40" s="46">
        <v>53397</v>
      </c>
      <c r="AL40" s="46">
        <v>3651.4</v>
      </c>
      <c r="AM40" s="46">
        <v>15000</v>
      </c>
      <c r="AN40" s="46">
        <v>16532</v>
      </c>
      <c r="AO40" s="46">
        <f>989006-982076</f>
        <v>6930</v>
      </c>
      <c r="AP40" s="46">
        <f>5380040.2-3602550-1757490.2</f>
        <v>20000.000000000233</v>
      </c>
      <c r="AQ40" s="46"/>
      <c r="AR40" s="46">
        <v>28670</v>
      </c>
      <c r="AS40" s="46">
        <f>87447.5-79420.5</f>
        <v>8027</v>
      </c>
      <c r="AT40" s="46"/>
      <c r="AU40" s="46">
        <v>2040994</v>
      </c>
      <c r="AV40" s="46"/>
      <c r="AW40" s="46">
        <f>5976792.2-500072.9-4837219-639500.3</f>
        <v>0</v>
      </c>
      <c r="AX40" s="46"/>
      <c r="AY40" s="46">
        <f>172476-112000-60476</f>
        <v>0</v>
      </c>
      <c r="AZ40" s="46">
        <v>8000</v>
      </c>
      <c r="BA40" s="46"/>
      <c r="BB40" s="46">
        <f>1252276.9-931230.3-321046.6</f>
        <v>0</v>
      </c>
      <c r="BC40" s="46">
        <f>698913-678913</f>
        <v>20000</v>
      </c>
      <c r="BD40" s="46">
        <f>910000-910000</f>
        <v>0</v>
      </c>
      <c r="BE40" s="46"/>
      <c r="BF40" s="46">
        <v>45000</v>
      </c>
      <c r="BG40" s="46">
        <v>19400</v>
      </c>
      <c r="BH40" s="46">
        <v>10000</v>
      </c>
    </row>
    <row r="41" spans="1:60" s="32" customFormat="1" ht="24">
      <c r="A41" s="54"/>
      <c r="B41" s="71" t="s">
        <v>95</v>
      </c>
      <c r="C41" s="17">
        <f>SUM(D41:BH41)</f>
        <v>0</v>
      </c>
      <c r="D41" s="55"/>
      <c r="E41" s="2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 ht="12.75">
      <c r="A42" s="44"/>
      <c r="B42" s="70" t="s">
        <v>82</v>
      </c>
      <c r="C42" s="17">
        <f>SUM(D42:BH42)</f>
        <v>910486.5700000001</v>
      </c>
      <c r="D42" s="46">
        <v>3368.88</v>
      </c>
      <c r="E42" s="18">
        <v>79003.44</v>
      </c>
      <c r="F42" s="46">
        <v>72211.5</v>
      </c>
      <c r="G42" s="46">
        <v>2695.31</v>
      </c>
      <c r="H42" s="46">
        <v>34264.39</v>
      </c>
      <c r="I42" s="46">
        <v>93982.9</v>
      </c>
      <c r="J42" s="46">
        <v>265152.25</v>
      </c>
      <c r="K42" s="46">
        <v>152824.53</v>
      </c>
      <c r="L42" s="46">
        <v>12758</v>
      </c>
      <c r="M42" s="46">
        <v>21986.4</v>
      </c>
      <c r="N42" s="46">
        <v>51479.75</v>
      </c>
      <c r="O42" s="46">
        <v>16798.5</v>
      </c>
      <c r="P42" s="46">
        <v>5552.5</v>
      </c>
      <c r="Q42" s="46">
        <v>6927.5</v>
      </c>
      <c r="R42" s="46">
        <v>2129.75</v>
      </c>
      <c r="S42" s="46">
        <v>6535</v>
      </c>
      <c r="T42" s="46">
        <v>4429.71</v>
      </c>
      <c r="U42" s="46">
        <v>18821.75</v>
      </c>
      <c r="V42" s="46">
        <v>3285.87</v>
      </c>
      <c r="W42" s="46">
        <v>19186.75</v>
      </c>
      <c r="X42" s="46">
        <v>383.75</v>
      </c>
      <c r="Y42" s="46"/>
      <c r="Z42" s="46">
        <v>1800</v>
      </c>
      <c r="AA42" s="46"/>
      <c r="AB42" s="46">
        <v>287.5</v>
      </c>
      <c r="AC42" s="46">
        <v>419.25</v>
      </c>
      <c r="AD42" s="46"/>
      <c r="AE42" s="46">
        <v>3759</v>
      </c>
      <c r="AF42" s="46"/>
      <c r="AG42" s="46">
        <v>75</v>
      </c>
      <c r="AH42" s="46"/>
      <c r="AI42" s="46">
        <v>4003.38</v>
      </c>
      <c r="AJ42" s="46"/>
      <c r="AK42" s="46">
        <v>93.75</v>
      </c>
      <c r="AL42" s="46"/>
      <c r="AM42" s="46">
        <v>125</v>
      </c>
      <c r="AN42" s="46"/>
      <c r="AO42" s="46">
        <v>17584.5</v>
      </c>
      <c r="AP42" s="46">
        <v>175</v>
      </c>
      <c r="AQ42" s="46">
        <v>350</v>
      </c>
      <c r="AR42" s="46">
        <v>830</v>
      </c>
      <c r="AS42" s="46">
        <v>3347.25</v>
      </c>
      <c r="AT42" s="46">
        <v>822.5</v>
      </c>
      <c r="AU42" s="46">
        <v>1150</v>
      </c>
      <c r="AV42" s="46">
        <v>576.75</v>
      </c>
      <c r="AW42" s="46"/>
      <c r="AX42" s="46"/>
      <c r="AY42" s="46"/>
      <c r="AZ42" s="46"/>
      <c r="BA42" s="46"/>
      <c r="BB42" s="46"/>
      <c r="BC42" s="46">
        <v>31.26</v>
      </c>
      <c r="BD42" s="46">
        <v>1221.75</v>
      </c>
      <c r="BE42" s="46"/>
      <c r="BF42" s="46">
        <v>18.75</v>
      </c>
      <c r="BG42" s="46"/>
      <c r="BH42" s="46">
        <v>37.5</v>
      </c>
    </row>
    <row r="43" spans="1:60" ht="13.5" thickBot="1">
      <c r="A43" s="16"/>
      <c r="B43" s="16"/>
      <c r="C43" s="17"/>
      <c r="D43" s="46"/>
      <c r="E43" s="1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60" s="39" customFormat="1" ht="14.25" thickBot="1" thickTop="1">
      <c r="A44" s="56" t="s">
        <v>68</v>
      </c>
      <c r="B44" s="56" t="s">
        <v>86</v>
      </c>
      <c r="C44" s="57">
        <f>SUM(D44:BH44)</f>
        <v>133164547.32</v>
      </c>
      <c r="D44" s="57">
        <f aca="true" t="shared" si="10" ref="D44:AI44">SUM(D30,D38)</f>
        <v>3895552.23</v>
      </c>
      <c r="E44" s="57">
        <f t="shared" si="10"/>
        <v>7887195.9</v>
      </c>
      <c r="F44" s="57">
        <f t="shared" si="10"/>
        <v>5374697.5</v>
      </c>
      <c r="G44" s="57">
        <f t="shared" si="10"/>
        <v>7297158.34</v>
      </c>
      <c r="H44" s="57">
        <f t="shared" si="10"/>
        <v>16704184.39</v>
      </c>
      <c r="I44" s="57">
        <f t="shared" si="10"/>
        <v>5892778.390000001</v>
      </c>
      <c r="J44" s="57">
        <f t="shared" si="10"/>
        <v>4071791.23</v>
      </c>
      <c r="K44" s="57">
        <f t="shared" si="10"/>
        <v>6990964.63</v>
      </c>
      <c r="L44" s="57">
        <f t="shared" si="10"/>
        <v>9882707.3</v>
      </c>
      <c r="M44" s="57">
        <f t="shared" si="10"/>
        <v>12725106.17</v>
      </c>
      <c r="N44" s="57">
        <f t="shared" si="10"/>
        <v>6200843.41</v>
      </c>
      <c r="O44" s="57">
        <f t="shared" si="10"/>
        <v>11841325.53</v>
      </c>
      <c r="P44" s="57">
        <f t="shared" si="10"/>
        <v>1722223.51</v>
      </c>
      <c r="Q44" s="57">
        <f t="shared" si="10"/>
        <v>2777684.1399999997</v>
      </c>
      <c r="R44" s="57">
        <f t="shared" si="10"/>
        <v>2062879.9299999997</v>
      </c>
      <c r="S44" s="57">
        <f t="shared" si="10"/>
        <v>1336683</v>
      </c>
      <c r="T44" s="57">
        <f t="shared" si="10"/>
        <v>2486476.21</v>
      </c>
      <c r="U44" s="57">
        <f t="shared" si="10"/>
        <v>6452565.45</v>
      </c>
      <c r="V44" s="57">
        <f t="shared" si="10"/>
        <v>1370066.87</v>
      </c>
      <c r="W44" s="57">
        <f t="shared" si="10"/>
        <v>9270327.6</v>
      </c>
      <c r="X44" s="57">
        <f t="shared" si="10"/>
        <v>1763998.75</v>
      </c>
      <c r="Y44" s="57">
        <f t="shared" si="10"/>
        <v>1647452</v>
      </c>
      <c r="Z44" s="57">
        <f t="shared" si="10"/>
        <v>18295.5</v>
      </c>
      <c r="AA44" s="57">
        <f t="shared" si="10"/>
        <v>0</v>
      </c>
      <c r="AB44" s="57">
        <f t="shared" si="10"/>
        <v>287.5</v>
      </c>
      <c r="AC44" s="57">
        <f t="shared" si="10"/>
        <v>32819.25</v>
      </c>
      <c r="AD44" s="57">
        <f t="shared" si="10"/>
        <v>4420</v>
      </c>
      <c r="AE44" s="57">
        <f t="shared" si="10"/>
        <v>3759</v>
      </c>
      <c r="AF44" s="57">
        <f t="shared" si="10"/>
        <v>0</v>
      </c>
      <c r="AG44" s="57">
        <f t="shared" si="10"/>
        <v>75</v>
      </c>
      <c r="AH44" s="57">
        <f t="shared" si="10"/>
        <v>28690</v>
      </c>
      <c r="AI44" s="57">
        <f t="shared" si="10"/>
        <v>54048.88</v>
      </c>
      <c r="AJ44" s="57">
        <f aca="true" t="shared" si="11" ref="AJ44:BH44">SUM(AJ30,AJ38)</f>
        <v>2997.5</v>
      </c>
      <c r="AK44" s="57">
        <f t="shared" si="11"/>
        <v>53490.75</v>
      </c>
      <c r="AL44" s="57">
        <f t="shared" si="11"/>
        <v>3651.4</v>
      </c>
      <c r="AM44" s="57">
        <f t="shared" si="11"/>
        <v>15125</v>
      </c>
      <c r="AN44" s="57">
        <f t="shared" si="11"/>
        <v>16532</v>
      </c>
      <c r="AO44" s="57">
        <f t="shared" si="11"/>
        <v>24514.5</v>
      </c>
      <c r="AP44" s="57">
        <f t="shared" si="11"/>
        <v>20175.000000000233</v>
      </c>
      <c r="AQ44" s="57">
        <f t="shared" si="11"/>
        <v>350</v>
      </c>
      <c r="AR44" s="57">
        <f t="shared" si="11"/>
        <v>29500</v>
      </c>
      <c r="AS44" s="57">
        <f t="shared" si="11"/>
        <v>11374.25</v>
      </c>
      <c r="AT44" s="57">
        <f t="shared" si="11"/>
        <v>822.5</v>
      </c>
      <c r="AU44" s="57">
        <f t="shared" si="11"/>
        <v>2042144</v>
      </c>
      <c r="AV44" s="57">
        <f t="shared" si="11"/>
        <v>576.75</v>
      </c>
      <c r="AW44" s="57">
        <f t="shared" si="11"/>
        <v>498476.8</v>
      </c>
      <c r="AX44" s="57">
        <f t="shared" si="11"/>
        <v>0</v>
      </c>
      <c r="AY44" s="57">
        <f t="shared" si="11"/>
        <v>0</v>
      </c>
      <c r="AZ44" s="57">
        <f t="shared" si="11"/>
        <v>8000</v>
      </c>
      <c r="BA44" s="57">
        <f t="shared" si="11"/>
        <v>0</v>
      </c>
      <c r="BB44" s="57">
        <f t="shared" si="11"/>
        <v>0</v>
      </c>
      <c r="BC44" s="57">
        <f t="shared" si="11"/>
        <v>20031.26</v>
      </c>
      <c r="BD44" s="57">
        <f t="shared" si="11"/>
        <v>545271.75</v>
      </c>
      <c r="BE44" s="57">
        <f t="shared" si="11"/>
        <v>0</v>
      </c>
      <c r="BF44" s="57">
        <f t="shared" si="11"/>
        <v>45018.75</v>
      </c>
      <c r="BG44" s="57">
        <f t="shared" si="11"/>
        <v>19400</v>
      </c>
      <c r="BH44" s="57">
        <f t="shared" si="11"/>
        <v>10037.5</v>
      </c>
    </row>
    <row r="45" spans="1:60" s="43" customFormat="1" ht="14.25" thickBot="1" thickTop="1">
      <c r="A45" s="58" t="s">
        <v>70</v>
      </c>
      <c r="B45" s="58" t="s">
        <v>87</v>
      </c>
      <c r="C45" s="59">
        <f>SUM(D45:BH45)</f>
        <v>-126295234.99000004</v>
      </c>
      <c r="D45" s="59">
        <f aca="true" t="shared" si="12" ref="D45:AI45">D26-D44</f>
        <v>-3834901.23</v>
      </c>
      <c r="E45" s="59">
        <f t="shared" si="12"/>
        <v>-7478233.8100000005</v>
      </c>
      <c r="F45" s="59">
        <f t="shared" si="12"/>
        <v>-5276789.69</v>
      </c>
      <c r="G45" s="59">
        <f t="shared" si="12"/>
        <v>-5879765.34</v>
      </c>
      <c r="H45" s="59">
        <f t="shared" si="12"/>
        <v>-16651865.47</v>
      </c>
      <c r="I45" s="59">
        <f t="shared" si="12"/>
        <v>-4512925.32</v>
      </c>
      <c r="J45" s="59">
        <f t="shared" si="12"/>
        <v>-4071791.23</v>
      </c>
      <c r="K45" s="59">
        <f t="shared" si="12"/>
        <v>-6907619.63</v>
      </c>
      <c r="L45" s="59">
        <f t="shared" si="12"/>
        <v>-9650649.860000001</v>
      </c>
      <c r="M45" s="59">
        <f t="shared" si="12"/>
        <v>-12459798.78</v>
      </c>
      <c r="N45" s="59">
        <f t="shared" si="12"/>
        <v>-4768017.25</v>
      </c>
      <c r="O45" s="59">
        <f t="shared" si="12"/>
        <v>-11697371.33</v>
      </c>
      <c r="P45" s="59">
        <f t="shared" si="12"/>
        <v>-1722223.51</v>
      </c>
      <c r="Q45" s="59">
        <f t="shared" si="12"/>
        <v>-2478727.8099999996</v>
      </c>
      <c r="R45" s="59">
        <f t="shared" si="12"/>
        <v>-2007273.9499999997</v>
      </c>
      <c r="S45" s="59">
        <f t="shared" si="12"/>
        <v>-1336550.5</v>
      </c>
      <c r="T45" s="59">
        <f t="shared" si="12"/>
        <v>-2486476.21</v>
      </c>
      <c r="U45" s="59">
        <f t="shared" si="12"/>
        <v>-6437920.83</v>
      </c>
      <c r="V45" s="59">
        <f t="shared" si="12"/>
        <v>-1367494.01</v>
      </c>
      <c r="W45" s="59">
        <f t="shared" si="12"/>
        <v>-9185128.25</v>
      </c>
      <c r="X45" s="59">
        <f t="shared" si="12"/>
        <v>-1758963.58</v>
      </c>
      <c r="Y45" s="59">
        <f t="shared" si="12"/>
        <v>-1557374.54</v>
      </c>
      <c r="Z45" s="59">
        <f t="shared" si="12"/>
        <v>-18159.53</v>
      </c>
      <c r="AA45" s="59">
        <f t="shared" si="12"/>
        <v>2899.47</v>
      </c>
      <c r="AB45" s="59">
        <f t="shared" si="12"/>
        <v>-287.5</v>
      </c>
      <c r="AC45" s="59">
        <f t="shared" si="12"/>
        <v>-12006.650000000001</v>
      </c>
      <c r="AD45" s="59">
        <f t="shared" si="12"/>
        <v>-3295</v>
      </c>
      <c r="AE45" s="59">
        <f t="shared" si="12"/>
        <v>-3759</v>
      </c>
      <c r="AF45" s="59">
        <f t="shared" si="12"/>
        <v>0</v>
      </c>
      <c r="AG45" s="59">
        <f t="shared" si="12"/>
        <v>21072.05</v>
      </c>
      <c r="AH45" s="59">
        <f t="shared" si="12"/>
        <v>-28690</v>
      </c>
      <c r="AI45" s="59">
        <f t="shared" si="12"/>
        <v>-10903.049999999996</v>
      </c>
      <c r="AJ45" s="59">
        <f aca="true" t="shared" si="13" ref="AJ45:BH45">AJ26-AJ44</f>
        <v>-2997.2</v>
      </c>
      <c r="AK45" s="59">
        <f t="shared" si="13"/>
        <v>-53490.75</v>
      </c>
      <c r="AL45" s="59">
        <f t="shared" si="13"/>
        <v>-3651.4</v>
      </c>
      <c r="AM45" s="59">
        <f t="shared" si="13"/>
        <v>-13150.31</v>
      </c>
      <c r="AN45" s="59">
        <f t="shared" si="13"/>
        <v>446338.85</v>
      </c>
      <c r="AO45" s="59">
        <f t="shared" si="13"/>
        <v>26014.07</v>
      </c>
      <c r="AP45" s="59">
        <f t="shared" si="13"/>
        <v>-20175.000000000233</v>
      </c>
      <c r="AQ45" s="59">
        <f t="shared" si="13"/>
        <v>-350</v>
      </c>
      <c r="AR45" s="59">
        <f t="shared" si="13"/>
        <v>-29500</v>
      </c>
      <c r="AS45" s="59">
        <f t="shared" si="13"/>
        <v>-11374.25</v>
      </c>
      <c r="AT45" s="59">
        <f t="shared" si="13"/>
        <v>-822.5</v>
      </c>
      <c r="AU45" s="59">
        <f t="shared" si="13"/>
        <v>-2018639.9</v>
      </c>
      <c r="AV45" s="59">
        <f t="shared" si="13"/>
        <v>-576.75</v>
      </c>
      <c r="AW45" s="59">
        <f t="shared" si="13"/>
        <v>-498476.8</v>
      </c>
      <c r="AX45" s="59">
        <f t="shared" si="13"/>
        <v>12268.73</v>
      </c>
      <c r="AY45" s="59">
        <f t="shared" si="13"/>
        <v>43.75</v>
      </c>
      <c r="AZ45" s="59">
        <f t="shared" si="13"/>
        <v>-8000</v>
      </c>
      <c r="BA45" s="59">
        <f t="shared" si="13"/>
        <v>33270.43</v>
      </c>
      <c r="BB45" s="59">
        <f t="shared" si="13"/>
        <v>4884.6</v>
      </c>
      <c r="BC45" s="59">
        <f t="shared" si="13"/>
        <v>-20030.609999999997</v>
      </c>
      <c r="BD45" s="59">
        <f t="shared" si="13"/>
        <v>-487556.55</v>
      </c>
      <c r="BE45" s="59">
        <f t="shared" si="13"/>
        <v>612.5</v>
      </c>
      <c r="BF45" s="59">
        <f t="shared" si="13"/>
        <v>-39447.56</v>
      </c>
      <c r="BG45" s="59">
        <f t="shared" si="13"/>
        <v>-19399.5</v>
      </c>
      <c r="BH45" s="59">
        <f t="shared" si="13"/>
        <v>-10037.5</v>
      </c>
    </row>
    <row r="46" ht="13.5" thickTop="1">
      <c r="AW46" s="3"/>
    </row>
    <row r="47" ht="12.75">
      <c r="AW47" s="3"/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1"/>
  <headerFooter alignWithMargins="0">
    <oddHeader>&amp;C&amp;"Arial CE,kurzíva"&amp;UPříloha č. 6  k usn. ZHMP č.       ze dne       2008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2008-05-26T12:17:58Z</cp:lastPrinted>
  <dcterms:created xsi:type="dcterms:W3CDTF">2006-01-13T12:10:48Z</dcterms:created>
  <dcterms:modified xsi:type="dcterms:W3CDTF">2008-05-26T12:20:10Z</dcterms:modified>
  <cp:category/>
  <cp:version/>
  <cp:contentType/>
  <cp:contentStatus/>
</cp:coreProperties>
</file>