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1055" windowHeight="5835" tabRatio="601" activeTab="0"/>
  </bookViews>
  <sheets>
    <sheet name="fin.zdroje" sheetId="1" r:id="rId1"/>
  </sheets>
  <definedNames>
    <definedName name="kontab" localSheetId="0">'fin.zdroje'!#REF!</definedName>
  </definedNames>
  <calcPr fullCalcOnLoad="1"/>
</workbook>
</file>

<file path=xl/sharedStrings.xml><?xml version="1.0" encoding="utf-8"?>
<sst xmlns="http://schemas.openxmlformats.org/spreadsheetml/2006/main" count="98" uniqueCount="79">
  <si>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</si>
  <si>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</si>
  <si>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</si>
  <si>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</si>
  <si>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</si>
  <si>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</si>
  <si>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</si>
  <si>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</si>
  <si>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</si>
  <si>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</si>
  <si>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</si>
  <si>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</si>
  <si>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</si>
  <si>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</si>
  <si>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</si>
  <si>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</si>
  <si>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</si>
  <si>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</si>
  <si>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</si>
  <si>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</si>
  <si>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</si>
  <si>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</si>
  <si>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</si>
  <si>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</si>
  <si>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</si>
  <si>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</si>
  <si>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</si>
  <si>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</si>
  <si>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</si>
  <si>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</si>
  <si>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</si>
  <si>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</si>
  <si>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</si>
  <si>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</si>
  <si>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F I N A N C O V Á N Í</t>
  </si>
  <si>
    <t>Schválený rozpočet</t>
  </si>
  <si>
    <t xml:space="preserve">Skutečnost </t>
  </si>
  <si>
    <t>Zbývá rozdělit</t>
  </si>
  <si>
    <t>splátky půjček od MČ</t>
  </si>
  <si>
    <t>Skutečnost</t>
  </si>
  <si>
    <t>Schválený rozp.</t>
  </si>
  <si>
    <t>Státní transfery na přímé náklady ve školství</t>
  </si>
  <si>
    <t>náhrada státních transferů na přímé náklady ve školství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</si>
  <si>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</si>
  <si>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</si>
  <si>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</si>
  <si>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>8124,27</t>
  </si>
  <si>
    <t>použití rezervy vytvořené v minulých letech na dluhovou službu</t>
  </si>
  <si>
    <t>výnos emise obligací</t>
  </si>
  <si>
    <t>6XXX</t>
  </si>
  <si>
    <t>5XXX</t>
  </si>
  <si>
    <t>Rezerva na kapitálové výdaje - tř. 8</t>
  </si>
  <si>
    <t>135X</t>
  </si>
  <si>
    <t>Ostatní odvody z vybraných činností a služeb</t>
  </si>
  <si>
    <t>8XXX</t>
  </si>
  <si>
    <t xml:space="preserve">          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</si>
  <si>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</si>
  <si>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</si>
  <si>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</si>
  <si>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</si>
  <si>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</si>
  <si>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náhrada státních transferů v rámci souhrn. dotačního vztahu</t>
  </si>
  <si>
    <t>Běžné výdaje - limit (s výjimkou pol. 5347)</t>
  </si>
  <si>
    <t>Převody mezi HMP a MČ - souhrn. vztah</t>
  </si>
  <si>
    <t>R O Z P O Č T O V É   P Ř Í J M Y</t>
  </si>
  <si>
    <t>Ú H R N   P Ř Í J M Ů  (třídy 1+2+3+4)</t>
  </si>
  <si>
    <t>Ú H R N   F I N A N C O V Á N Í</t>
  </si>
  <si>
    <t>F I N A N Č N Í   Z D R O J E   C E L K E M</t>
  </si>
  <si>
    <t>Převody mezi HMP a MČ - příjmy</t>
  </si>
  <si>
    <t>Pozn. Skutečnost váže k vybraným ukazatelům schváleného rozpočtu.</t>
  </si>
  <si>
    <t>tranše z úvěru od EIB</t>
  </si>
  <si>
    <t>Rezerva vytvořená ze splátek od MČ - tř. 8</t>
  </si>
  <si>
    <t xml:space="preserve">                                             </t>
  </si>
  <si>
    <t>zapojení dočasně volných zdrojů do RS</t>
  </si>
  <si>
    <t>Dluhová služba - tř. 8</t>
  </si>
  <si>
    <t>Rezerva na dluhovou službu - tř. 8</t>
  </si>
  <si>
    <t>převod z Fondu rozvoje sociálního bydlení na území HMP</t>
  </si>
  <si>
    <t>Tabulka č. 2</t>
  </si>
  <si>
    <t>Finanční zdroje rozpočtu vlastního hl. m. Prahy na rok 2017 (v tis.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</si>
</sst>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#,##0.000_ ;\-#,##0.000\ "/>
    <numFmt numFmtId="173" formatCode="#,##0.0000_ ;\-#,##0.0000\ "/>
    <numFmt numFmtId="174" formatCode="#,##0.00000_ ;\-#,##0.00000\ "/>
    <numFmt numFmtId="175" formatCode="#,##0.000000_ ;\-#,##0.000000\ "/>
    <numFmt numFmtId="176" formatCode="#,##0.0000000_ ;\-#,##0.0000000\ "/>
    <numFmt numFmtId="177" formatCode="#,##0.00000000_ ;\-#,##0.00000000\ "/>
    <numFmt numFmtId="178" formatCode="#,##0.000000000_ ;\-#,##0.000000000\ "/>
    <numFmt numFmtId="179" formatCode="#,##0.0000000000_ ;\-#,##0.0000000000\ "/>
    <numFmt numFmtId="180" formatCode="#,##0.00000000000_ ;\-#,##0.00000000000\ "/>
    <numFmt numFmtId="181" formatCode="#,##0.000000000000_ ;\-#,##0.000000000000\ "/>
    <numFmt numFmtId="182" formatCode="#,##0.0000000000000_ ;\-#,##0.0000000000000\ "/>
    <numFmt numFmtId="183" formatCode="#,##0.00000000000000_ ;\-#,##0.00000000000000\ "/>
    <numFmt numFmtId="184" formatCode="#,##0.000000000000000_ ;\-#,##0.000000000000000\ "/>
    <numFmt numFmtId="185" formatCode="#,##0.0_ ;\-#,##0.0\ "/>
    <numFmt numFmtId="186" formatCode="#,##0_ ;\-#,##0\ "/>
  </numFmts>
  <fonts count="5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sz val="9"/>
      <name val="Times New Roman CE"/>
      <family val="0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b/>
      <i/>
      <sz val="12"/>
      <color indexed="10"/>
      <name val="Times New Roman CE"/>
      <family val="0"/>
    </font>
    <font>
      <b/>
      <i/>
      <u val="single"/>
      <sz val="8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4" fontId="1" fillId="32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/>
    </xf>
    <xf numFmtId="164" fontId="2" fillId="0" borderId="2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1" fillId="0" borderId="35" xfId="0" applyNumberFormat="1" applyFont="1" applyBorder="1" applyAlignment="1">
      <alignment horizontal="right"/>
    </xf>
    <xf numFmtId="164" fontId="1" fillId="32" borderId="35" xfId="0" applyNumberFormat="1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 vertic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37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4" fontId="1" fillId="32" borderId="22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164" fontId="1" fillId="0" borderId="39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164" fontId="7" fillId="0" borderId="3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3" fillId="33" borderId="3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right" vertical="center"/>
    </xf>
    <xf numFmtId="164" fontId="2" fillId="33" borderId="36" xfId="0" applyNumberFormat="1" applyFont="1" applyFill="1" applyBorder="1" applyAlignment="1">
      <alignment horizontal="right" vertical="center"/>
    </xf>
    <xf numFmtId="164" fontId="2" fillId="33" borderId="18" xfId="0" applyNumberFormat="1" applyFont="1" applyFill="1" applyBorder="1" applyAlignment="1">
      <alignment horizontal="right" vertical="center"/>
    </xf>
    <xf numFmtId="164" fontId="2" fillId="33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2" fillId="0" borderId="18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64" fontId="1" fillId="0" borderId="41" xfId="0" applyNumberFormat="1" applyFont="1" applyFill="1" applyBorder="1" applyAlignment="1">
      <alignment horizontal="left" vertical="center"/>
    </xf>
    <xf numFmtId="164" fontId="1" fillId="0" borderId="45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164" fontId="7" fillId="0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64" fontId="1" fillId="0" borderId="43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3" fillId="0" borderId="16" xfId="0" applyNumberFormat="1" applyFont="1" applyBorder="1" applyAlignment="1">
      <alignment horizontal="right"/>
    </xf>
    <xf numFmtId="164" fontId="13" fillId="0" borderId="16" xfId="0" applyNumberFormat="1" applyFont="1" applyFill="1" applyBorder="1" applyAlignment="1">
      <alignment horizontal="right"/>
    </xf>
    <xf numFmtId="164" fontId="13" fillId="0" borderId="46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 shrinkToFit="1"/>
    </xf>
    <xf numFmtId="0" fontId="0" fillId="0" borderId="29" xfId="0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15" fillId="0" borderId="0" xfId="0" applyFont="1" applyAlignment="1">
      <alignment/>
    </xf>
    <xf numFmtId="164" fontId="2" fillId="0" borderId="20" xfId="0" applyNumberFormat="1" applyFont="1" applyBorder="1" applyAlignment="1">
      <alignment horizontal="right"/>
    </xf>
    <xf numFmtId="164" fontId="13" fillId="0" borderId="20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164" fontId="13" fillId="0" borderId="38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left"/>
    </xf>
    <xf numFmtId="164" fontId="2" fillId="0" borderId="18" xfId="0" applyNumberFormat="1" applyFont="1" applyBorder="1" applyAlignment="1">
      <alignment horizontal="right" vertical="center"/>
    </xf>
    <xf numFmtId="14" fontId="51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36" xfId="0" applyFill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tabSelected="1" zoomScalePageLayoutView="0" workbookViewId="0" topLeftCell="A1">
      <pane xSplit="11" ySplit="6" topLeftCell="N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N7" sqref="N7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16.00390625" style="2" hidden="1" customWidth="1"/>
    <col min="4" max="4" width="12.75390625" style="2" hidden="1" customWidth="1"/>
    <col min="5" max="5" width="16.00390625" style="2" hidden="1" customWidth="1"/>
    <col min="6" max="6" width="13.375" style="2" hidden="1" customWidth="1"/>
    <col min="7" max="8" width="14.125" style="2" hidden="1" customWidth="1"/>
    <col min="9" max="11" width="13.00390625" style="2" hidden="1" customWidth="1"/>
    <col min="12" max="12" width="0.12890625" style="2" hidden="1" customWidth="1"/>
    <col min="13" max="13" width="13.375" style="2" hidden="1" customWidth="1"/>
    <col min="14" max="15" width="13.375" style="2" customWidth="1"/>
    <col min="16" max="16" width="13.375" style="0" bestFit="1" customWidth="1"/>
    <col min="17" max="22" width="13.375" style="0" customWidth="1"/>
    <col min="23" max="23" width="13.125" style="0" customWidth="1"/>
    <col min="24" max="24" width="9.625" style="0" bestFit="1" customWidth="1"/>
  </cols>
  <sheetData>
    <row r="1" spans="1:15" s="121" customFormat="1" ht="15.75">
      <c r="A1" s="149" t="s">
        <v>77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37"/>
      <c r="N1" s="139"/>
      <c r="O1" s="148"/>
    </row>
    <row r="2" spans="1:16" ht="19.5" thickBot="1">
      <c r="A2" s="123" t="s">
        <v>78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4"/>
    </row>
    <row r="3" spans="1:23" ht="16.5" thickBot="1">
      <c r="A3" s="150" t="s">
        <v>72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9"/>
    </row>
    <row r="4" spans="1:23" ht="13.5" customHeight="1">
      <c r="A4" s="152" t="s">
        <v>0</v>
      </c>
      <c r="B4" s="154" t="s">
        <v>1</v>
      </c>
      <c r="C4" s="18" t="s">
        <v>35</v>
      </c>
      <c r="D4" s="43" t="s">
        <v>36</v>
      </c>
      <c r="E4" s="18" t="s">
        <v>35</v>
      </c>
      <c r="F4" s="3" t="s">
        <v>39</v>
      </c>
      <c r="G4" s="18" t="s">
        <v>40</v>
      </c>
      <c r="H4" s="43" t="s">
        <v>39</v>
      </c>
      <c r="I4" s="18" t="s">
        <v>40</v>
      </c>
      <c r="J4" s="3" t="s">
        <v>39</v>
      </c>
      <c r="K4" s="3" t="s">
        <v>39</v>
      </c>
      <c r="L4" s="65" t="s">
        <v>40</v>
      </c>
      <c r="M4" s="65" t="s">
        <v>39</v>
      </c>
      <c r="N4" s="65" t="s">
        <v>40</v>
      </c>
      <c r="O4" s="65" t="s">
        <v>39</v>
      </c>
      <c r="P4" s="65" t="s">
        <v>40</v>
      </c>
      <c r="Q4" s="65" t="s">
        <v>39</v>
      </c>
      <c r="R4" s="65" t="s">
        <v>40</v>
      </c>
      <c r="S4" s="65" t="s">
        <v>39</v>
      </c>
      <c r="T4" s="65" t="s">
        <v>40</v>
      </c>
      <c r="U4" s="65" t="s">
        <v>39</v>
      </c>
      <c r="V4" s="135" t="s">
        <v>40</v>
      </c>
      <c r="W4" s="135" t="s">
        <v>40</v>
      </c>
    </row>
    <row r="5" spans="1:23" ht="13.5" thickBot="1">
      <c r="A5" s="153"/>
      <c r="B5" s="155"/>
      <c r="C5" s="19">
        <v>2005</v>
      </c>
      <c r="D5" s="44">
        <v>2005</v>
      </c>
      <c r="E5" s="19">
        <v>2006</v>
      </c>
      <c r="F5" s="4">
        <v>2006</v>
      </c>
      <c r="G5" s="19">
        <v>2007</v>
      </c>
      <c r="H5" s="44">
        <v>2007</v>
      </c>
      <c r="I5" s="19">
        <v>2008</v>
      </c>
      <c r="J5" s="4">
        <v>2008</v>
      </c>
      <c r="K5" s="4">
        <v>2009</v>
      </c>
      <c r="L5" s="4">
        <v>2011</v>
      </c>
      <c r="M5" s="4">
        <v>2011</v>
      </c>
      <c r="N5" s="4">
        <v>2012</v>
      </c>
      <c r="O5" s="4">
        <v>2012</v>
      </c>
      <c r="P5" s="4">
        <v>2013</v>
      </c>
      <c r="Q5" s="4">
        <v>2013</v>
      </c>
      <c r="R5" s="4">
        <v>2014</v>
      </c>
      <c r="S5" s="4">
        <v>2014</v>
      </c>
      <c r="T5" s="4">
        <v>2015</v>
      </c>
      <c r="U5" s="4">
        <v>2015</v>
      </c>
      <c r="V5" s="4">
        <v>2016</v>
      </c>
      <c r="W5" s="4">
        <v>2017</v>
      </c>
    </row>
    <row r="6" spans="1:23" ht="13.5" thickBot="1">
      <c r="A6" s="80"/>
      <c r="B6" s="95" t="s">
        <v>64</v>
      </c>
      <c r="C6" s="81"/>
      <c r="D6" s="82"/>
      <c r="E6" s="81"/>
      <c r="F6" s="83"/>
      <c r="G6" s="81"/>
      <c r="H6" s="82"/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3" ht="12.75">
      <c r="A7" s="5" t="s">
        <v>2</v>
      </c>
      <c r="B7" s="96" t="s">
        <v>3</v>
      </c>
      <c r="C7" s="20">
        <v>367470</v>
      </c>
      <c r="D7" s="45">
        <v>370356.95</v>
      </c>
      <c r="E7" s="20">
        <v>336000</v>
      </c>
      <c r="F7" s="10">
        <v>369126.89</v>
      </c>
      <c r="G7" s="20">
        <v>369000</v>
      </c>
      <c r="H7" s="45">
        <v>407620.03</v>
      </c>
      <c r="I7" s="20">
        <f>20000+340000+30000</f>
        <v>390000</v>
      </c>
      <c r="J7" s="10">
        <v>384409.03</v>
      </c>
      <c r="K7" s="10">
        <v>359012.88</v>
      </c>
      <c r="L7" s="10">
        <f>310000+9000+29000</f>
        <v>348000</v>
      </c>
      <c r="M7" s="10">
        <v>371030.14</v>
      </c>
      <c r="N7" s="10">
        <f>320000+9000+29000</f>
        <v>358000</v>
      </c>
      <c r="O7" s="10">
        <v>384263.99</v>
      </c>
      <c r="P7" s="10">
        <v>360000</v>
      </c>
      <c r="Q7" s="10">
        <v>394896.05</v>
      </c>
      <c r="R7" s="10">
        <v>370000</v>
      </c>
      <c r="S7" s="10">
        <v>402992.26</v>
      </c>
      <c r="T7" s="10">
        <v>370000</v>
      </c>
      <c r="U7" s="10">
        <v>421265.21</v>
      </c>
      <c r="V7" s="10">
        <v>400000</v>
      </c>
      <c r="W7" s="10">
        <v>446000</v>
      </c>
    </row>
    <row r="8" spans="1:23" ht="12.75">
      <c r="A8" s="5" t="s">
        <v>2</v>
      </c>
      <c r="B8" s="96" t="s">
        <v>4</v>
      </c>
      <c r="C8" s="20">
        <v>9800000</v>
      </c>
      <c r="D8" s="46">
        <v>10886509.59</v>
      </c>
      <c r="E8" s="56">
        <v>10300000</v>
      </c>
      <c r="F8" s="16">
        <v>10242819.22</v>
      </c>
      <c r="G8" s="56">
        <v>10050000</v>
      </c>
      <c r="H8" s="46">
        <v>11240873.74</v>
      </c>
      <c r="I8" s="56">
        <f>290000+7700000+500000+1300000+660000</f>
        <v>10450000</v>
      </c>
      <c r="J8" s="16">
        <v>10848510.08</v>
      </c>
      <c r="K8" s="16">
        <v>8994887.51</v>
      </c>
      <c r="L8" s="16">
        <v>9750000</v>
      </c>
      <c r="M8" s="16">
        <v>9719710.44</v>
      </c>
      <c r="N8" s="16">
        <f>7700000+300000+220000+550000+700000</f>
        <v>9470000</v>
      </c>
      <c r="O8" s="16">
        <v>10021238.14</v>
      </c>
      <c r="P8" s="16">
        <v>10080000</v>
      </c>
      <c r="Q8" s="16">
        <v>9741994.42</v>
      </c>
      <c r="R8" s="16">
        <v>9530000</v>
      </c>
      <c r="S8" s="16">
        <v>10545804.61</v>
      </c>
      <c r="T8" s="16">
        <v>10060000</v>
      </c>
      <c r="U8" s="16">
        <v>10913357.95</v>
      </c>
      <c r="V8" s="10">
        <v>10300000</v>
      </c>
      <c r="W8" s="10">
        <v>11670000</v>
      </c>
    </row>
    <row r="9" spans="1:23" ht="13.5">
      <c r="A9" s="5"/>
      <c r="B9" s="97" t="s">
        <v>5</v>
      </c>
      <c r="C9" s="34">
        <f aca="true" t="shared" si="0" ref="C9:P9">SUM(C7:C8)</f>
        <v>10167470</v>
      </c>
      <c r="D9" s="47">
        <f t="shared" si="0"/>
        <v>11256866.54</v>
      </c>
      <c r="E9" s="34">
        <f t="shared" si="0"/>
        <v>10636000</v>
      </c>
      <c r="F9" s="35">
        <f t="shared" si="0"/>
        <v>10611946.110000001</v>
      </c>
      <c r="G9" s="66">
        <f t="shared" si="0"/>
        <v>10419000</v>
      </c>
      <c r="H9" s="70">
        <f t="shared" si="0"/>
        <v>11648493.77</v>
      </c>
      <c r="I9" s="66">
        <f t="shared" si="0"/>
        <v>10840000</v>
      </c>
      <c r="J9" s="35">
        <f t="shared" si="0"/>
        <v>11232919.11</v>
      </c>
      <c r="K9" s="35">
        <f t="shared" si="0"/>
        <v>9353900.39</v>
      </c>
      <c r="L9" s="35">
        <f t="shared" si="0"/>
        <v>10098000</v>
      </c>
      <c r="M9" s="35">
        <f t="shared" si="0"/>
        <v>10090740.58</v>
      </c>
      <c r="N9" s="35">
        <f t="shared" si="0"/>
        <v>9828000</v>
      </c>
      <c r="O9" s="35">
        <f>SUM(O7:O8)</f>
        <v>10405502.13</v>
      </c>
      <c r="P9" s="120">
        <f t="shared" si="0"/>
        <v>10440000</v>
      </c>
      <c r="Q9" s="120">
        <f aca="true" t="shared" si="1" ref="Q9:W9">SUM(Q7:Q8)</f>
        <v>10136890.47</v>
      </c>
      <c r="R9" s="120">
        <f t="shared" si="1"/>
        <v>9900000</v>
      </c>
      <c r="S9" s="120">
        <f t="shared" si="1"/>
        <v>10948796.87</v>
      </c>
      <c r="T9" s="120">
        <f t="shared" si="1"/>
        <v>10430000</v>
      </c>
      <c r="U9" s="120">
        <f t="shared" si="1"/>
        <v>11334623.16</v>
      </c>
      <c r="V9" s="120">
        <f t="shared" si="1"/>
        <v>10700000</v>
      </c>
      <c r="W9" s="120">
        <f t="shared" si="1"/>
        <v>12116000</v>
      </c>
    </row>
    <row r="10" spans="1:23" ht="12.75">
      <c r="A10" s="5" t="s">
        <v>6</v>
      </c>
      <c r="B10" s="96" t="s">
        <v>7</v>
      </c>
      <c r="C10" s="20">
        <v>340000</v>
      </c>
      <c r="D10" s="46">
        <v>371681.75</v>
      </c>
      <c r="E10" s="56">
        <v>300000</v>
      </c>
      <c r="F10" s="16">
        <v>386763.42</v>
      </c>
      <c r="G10" s="56">
        <v>420000</v>
      </c>
      <c r="H10" s="46">
        <v>436479.41</v>
      </c>
      <c r="I10" s="56">
        <v>420000</v>
      </c>
      <c r="J10" s="16">
        <v>508230.91</v>
      </c>
      <c r="K10" s="16">
        <v>356754.28</v>
      </c>
      <c r="L10" s="16">
        <f>300000+30000</f>
        <v>330000</v>
      </c>
      <c r="M10" s="16">
        <v>329065.16</v>
      </c>
      <c r="N10" s="16">
        <v>330000</v>
      </c>
      <c r="O10" s="16">
        <v>364249.05</v>
      </c>
      <c r="P10" s="17">
        <v>320000</v>
      </c>
      <c r="Q10" s="17">
        <v>384892.69</v>
      </c>
      <c r="R10" s="17">
        <v>300000</v>
      </c>
      <c r="S10" s="17">
        <v>399193.51</v>
      </c>
      <c r="T10" s="17">
        <v>360000</v>
      </c>
      <c r="U10" s="17">
        <v>415668.58</v>
      </c>
      <c r="V10" s="10">
        <v>390000</v>
      </c>
      <c r="W10" s="10">
        <v>450000</v>
      </c>
    </row>
    <row r="11" spans="1:23" ht="12.75">
      <c r="A11" s="5" t="s">
        <v>6</v>
      </c>
      <c r="B11" s="96" t="s">
        <v>44</v>
      </c>
      <c r="C11" s="20">
        <v>7500000</v>
      </c>
      <c r="D11" s="46">
        <v>9831568.23</v>
      </c>
      <c r="E11" s="56">
        <v>7800000</v>
      </c>
      <c r="F11" s="16">
        <v>9976225.84</v>
      </c>
      <c r="G11" s="56">
        <v>10000000</v>
      </c>
      <c r="H11" s="46">
        <v>11753178.63</v>
      </c>
      <c r="I11" s="56">
        <f>10050000+500000</f>
        <v>10550000</v>
      </c>
      <c r="J11" s="16">
        <v>13426982.97</v>
      </c>
      <c r="K11" s="16">
        <v>9639524.96</v>
      </c>
      <c r="L11" s="16">
        <v>8310000</v>
      </c>
      <c r="M11" s="16">
        <v>8967328.16</v>
      </c>
      <c r="N11" s="16">
        <f>8000000+150000</f>
        <v>8150000</v>
      </c>
      <c r="O11" s="16">
        <v>9790317.47</v>
      </c>
      <c r="P11" s="17">
        <v>8250000</v>
      </c>
      <c r="Q11" s="17">
        <v>10102121.81</v>
      </c>
      <c r="R11" s="17">
        <v>8200000</v>
      </c>
      <c r="S11" s="17">
        <v>10630474.59</v>
      </c>
      <c r="T11" s="17">
        <v>8700000</v>
      </c>
      <c r="U11" s="17">
        <v>11461969.22</v>
      </c>
      <c r="V11" s="10">
        <v>9700000</v>
      </c>
      <c r="W11" s="10">
        <v>10300000</v>
      </c>
    </row>
    <row r="12" spans="1:23" ht="13.5">
      <c r="A12" s="5"/>
      <c r="B12" s="97" t="s">
        <v>8</v>
      </c>
      <c r="C12" s="34">
        <f aca="true" t="shared" si="2" ref="C12:N12">SUM(C10:C11)</f>
        <v>7840000</v>
      </c>
      <c r="D12" s="47">
        <f t="shared" si="2"/>
        <v>10203249.98</v>
      </c>
      <c r="E12" s="34">
        <f t="shared" si="2"/>
        <v>8100000</v>
      </c>
      <c r="F12" s="35">
        <f t="shared" si="2"/>
        <v>10362989.26</v>
      </c>
      <c r="G12" s="66">
        <f t="shared" si="2"/>
        <v>10420000</v>
      </c>
      <c r="H12" s="70">
        <f t="shared" si="2"/>
        <v>12189658.040000001</v>
      </c>
      <c r="I12" s="66">
        <f t="shared" si="2"/>
        <v>10970000</v>
      </c>
      <c r="J12" s="35">
        <f t="shared" si="2"/>
        <v>13935213.88</v>
      </c>
      <c r="K12" s="35">
        <f t="shared" si="2"/>
        <v>9996279.24</v>
      </c>
      <c r="L12" s="35">
        <f t="shared" si="2"/>
        <v>8640000</v>
      </c>
      <c r="M12" s="35">
        <f t="shared" si="2"/>
        <v>9296393.32</v>
      </c>
      <c r="N12" s="35">
        <f t="shared" si="2"/>
        <v>8480000</v>
      </c>
      <c r="O12" s="35">
        <f aca="true" t="shared" si="3" ref="O12:V12">SUM(O10:O11)</f>
        <v>10154566.520000001</v>
      </c>
      <c r="P12" s="120">
        <f t="shared" si="3"/>
        <v>8570000</v>
      </c>
      <c r="Q12" s="120">
        <f t="shared" si="3"/>
        <v>10487014.5</v>
      </c>
      <c r="R12" s="120">
        <f t="shared" si="3"/>
        <v>8500000</v>
      </c>
      <c r="S12" s="120">
        <f>SUM(S10:S11)</f>
        <v>11029668.1</v>
      </c>
      <c r="T12" s="120">
        <f t="shared" si="3"/>
        <v>9060000</v>
      </c>
      <c r="U12" s="120">
        <f>SUM(U10:U11)</f>
        <v>11877637.8</v>
      </c>
      <c r="V12" s="120">
        <f t="shared" si="3"/>
        <v>10090000</v>
      </c>
      <c r="W12" s="120">
        <f>SUM(W10:W11)</f>
        <v>10750000</v>
      </c>
    </row>
    <row r="13" spans="1:23" ht="12.75">
      <c r="A13" s="5">
        <v>1211</v>
      </c>
      <c r="B13" s="96" t="s">
        <v>9</v>
      </c>
      <c r="C13" s="20">
        <v>500000</v>
      </c>
      <c r="D13" s="46">
        <v>564563.15</v>
      </c>
      <c r="E13" s="56">
        <v>534000</v>
      </c>
      <c r="F13" s="16">
        <v>624346.91</v>
      </c>
      <c r="G13" s="56">
        <f>620000+30000</f>
        <v>650000</v>
      </c>
      <c r="H13" s="46">
        <v>661159.83</v>
      </c>
      <c r="I13" s="56">
        <v>650000</v>
      </c>
      <c r="J13" s="16">
        <v>726483.32</v>
      </c>
      <c r="K13" s="16">
        <v>718566.05</v>
      </c>
      <c r="L13" s="16">
        <v>770000</v>
      </c>
      <c r="M13" s="16">
        <v>781419.19</v>
      </c>
      <c r="N13" s="16">
        <v>800000</v>
      </c>
      <c r="O13" s="16">
        <v>737342.99</v>
      </c>
      <c r="P13" s="17">
        <v>650000</v>
      </c>
      <c r="Q13" s="17">
        <v>772991.93</v>
      </c>
      <c r="R13" s="17">
        <v>740000</v>
      </c>
      <c r="S13" s="17">
        <v>809921.18</v>
      </c>
      <c r="T13" s="17">
        <v>770000</v>
      </c>
      <c r="U13" s="17">
        <v>826989.3</v>
      </c>
      <c r="V13" s="10">
        <v>800000</v>
      </c>
      <c r="W13" s="10">
        <v>914000</v>
      </c>
    </row>
    <row r="14" spans="1:23" ht="12.75">
      <c r="A14" s="5">
        <v>1211</v>
      </c>
      <c r="B14" s="96" t="s">
        <v>10</v>
      </c>
      <c r="C14" s="20">
        <v>11307567</v>
      </c>
      <c r="D14" s="46">
        <v>13595962.48</v>
      </c>
      <c r="E14" s="56">
        <v>13561101</v>
      </c>
      <c r="F14" s="16">
        <v>14515774.84</v>
      </c>
      <c r="G14" s="56">
        <f>15000000+270000</f>
        <v>15270000</v>
      </c>
      <c r="H14" s="46">
        <v>15409516.55</v>
      </c>
      <c r="I14" s="56">
        <f>15270000+4428+331180</f>
        <v>15605608</v>
      </c>
      <c r="J14" s="16">
        <v>17070308.16</v>
      </c>
      <c r="K14" s="16">
        <v>17003754.97</v>
      </c>
      <c r="L14" s="16">
        <v>18600000</v>
      </c>
      <c r="M14" s="16">
        <v>18693419.21</v>
      </c>
      <c r="N14" s="16">
        <v>19000000</v>
      </c>
      <c r="O14" s="16">
        <v>17553201.1</v>
      </c>
      <c r="P14" s="17">
        <v>16240000</v>
      </c>
      <c r="Q14" s="17">
        <v>18064435.91</v>
      </c>
      <c r="R14" s="17">
        <v>17500000</v>
      </c>
      <c r="S14" s="17">
        <v>18978698.86</v>
      </c>
      <c r="T14" s="17">
        <v>18500000</v>
      </c>
      <c r="U14" s="17">
        <v>19527316.75</v>
      </c>
      <c r="V14" s="10">
        <v>19007667</v>
      </c>
      <c r="W14" s="10">
        <v>20500000</v>
      </c>
    </row>
    <row r="15" spans="1:23" ht="13.5">
      <c r="A15" s="5"/>
      <c r="B15" s="97" t="s">
        <v>11</v>
      </c>
      <c r="C15" s="34">
        <f aca="true" t="shared" si="4" ref="C15:N15">SUM(C13:C14)</f>
        <v>11807567</v>
      </c>
      <c r="D15" s="47">
        <f t="shared" si="4"/>
        <v>14160525.63</v>
      </c>
      <c r="E15" s="34">
        <f t="shared" si="4"/>
        <v>14095101</v>
      </c>
      <c r="F15" s="35">
        <f t="shared" si="4"/>
        <v>15140121.75</v>
      </c>
      <c r="G15" s="66">
        <f t="shared" si="4"/>
        <v>15920000</v>
      </c>
      <c r="H15" s="70">
        <f t="shared" si="4"/>
        <v>16070676.38</v>
      </c>
      <c r="I15" s="66">
        <f t="shared" si="4"/>
        <v>16255608</v>
      </c>
      <c r="J15" s="35">
        <f t="shared" si="4"/>
        <v>17796791.48</v>
      </c>
      <c r="K15" s="35">
        <f t="shared" si="4"/>
        <v>17722321.02</v>
      </c>
      <c r="L15" s="35">
        <f t="shared" si="4"/>
        <v>19370000</v>
      </c>
      <c r="M15" s="35">
        <f t="shared" si="4"/>
        <v>19474838.400000002</v>
      </c>
      <c r="N15" s="35">
        <f t="shared" si="4"/>
        <v>19800000</v>
      </c>
      <c r="O15" s="35">
        <f aca="true" t="shared" si="5" ref="O15:V15">SUM(O13:O14)</f>
        <v>18290544.09</v>
      </c>
      <c r="P15" s="120">
        <f t="shared" si="5"/>
        <v>16890000</v>
      </c>
      <c r="Q15" s="120">
        <f t="shared" si="5"/>
        <v>18837427.84</v>
      </c>
      <c r="R15" s="120">
        <f t="shared" si="5"/>
        <v>18240000</v>
      </c>
      <c r="S15" s="120">
        <f>SUM(S13:S14)</f>
        <v>19788620.04</v>
      </c>
      <c r="T15" s="120">
        <f t="shared" si="5"/>
        <v>19270000</v>
      </c>
      <c r="U15" s="120">
        <f>SUM(U13:U14)</f>
        <v>20354306.05</v>
      </c>
      <c r="V15" s="120">
        <f t="shared" si="5"/>
        <v>19807667</v>
      </c>
      <c r="W15" s="120">
        <f>SUM(W13:W14)</f>
        <v>21414000</v>
      </c>
    </row>
    <row r="16" spans="1:23" ht="12.75">
      <c r="A16" s="5" t="s">
        <v>12</v>
      </c>
      <c r="B16" s="96" t="s">
        <v>13</v>
      </c>
      <c r="C16" s="20">
        <v>500000</v>
      </c>
      <c r="D16" s="45">
        <v>708306.9</v>
      </c>
      <c r="E16" s="20">
        <v>630000</v>
      </c>
      <c r="F16" s="10">
        <v>725056.88</v>
      </c>
      <c r="G16" s="20">
        <v>640000</v>
      </c>
      <c r="H16" s="45">
        <v>767565.76</v>
      </c>
      <c r="I16" s="20">
        <v>660000</v>
      </c>
      <c r="J16" s="10">
        <v>729648.81</v>
      </c>
      <c r="K16" s="10">
        <v>717677.9</v>
      </c>
      <c r="L16" s="10">
        <v>680000</v>
      </c>
      <c r="M16" s="10">
        <v>711380.56</v>
      </c>
      <c r="N16" s="10">
        <v>680000</v>
      </c>
      <c r="O16" s="10">
        <v>695513.73</v>
      </c>
      <c r="P16" s="17">
        <v>785865</v>
      </c>
      <c r="Q16" s="17">
        <v>712601.81</v>
      </c>
      <c r="R16" s="17">
        <v>721000</v>
      </c>
      <c r="S16" s="17">
        <v>709145.85</v>
      </c>
      <c r="T16" s="17">
        <v>690000</v>
      </c>
      <c r="U16" s="17">
        <v>714265.37</v>
      </c>
      <c r="V16" s="10">
        <v>690000</v>
      </c>
      <c r="W16" s="10">
        <v>690000</v>
      </c>
    </row>
    <row r="17" spans="1:23" ht="12.75">
      <c r="A17" s="5" t="s">
        <v>14</v>
      </c>
      <c r="B17" s="96" t="s">
        <v>15</v>
      </c>
      <c r="C17" s="20">
        <v>125000</v>
      </c>
      <c r="D17" s="45">
        <v>185412.79</v>
      </c>
      <c r="E17" s="20">
        <v>150000</v>
      </c>
      <c r="F17" s="10">
        <v>187198.92</v>
      </c>
      <c r="G17" s="20">
        <v>180000</v>
      </c>
      <c r="H17" s="45">
        <v>201588.38</v>
      </c>
      <c r="I17" s="20">
        <v>186000</v>
      </c>
      <c r="J17" s="10">
        <v>196599.26</v>
      </c>
      <c r="K17" s="10">
        <v>171946.74</v>
      </c>
      <c r="L17" s="10">
        <f>13000+110000+8000+39000</f>
        <v>170000</v>
      </c>
      <c r="M17" s="10">
        <v>193380.35</v>
      </c>
      <c r="N17" s="10">
        <v>170000</v>
      </c>
      <c r="O17" s="10">
        <v>205343.05</v>
      </c>
      <c r="P17" s="17">
        <v>200000</v>
      </c>
      <c r="Q17" s="17">
        <v>222850.12</v>
      </c>
      <c r="R17" s="17">
        <v>220000</v>
      </c>
      <c r="S17" s="17">
        <v>226405.72</v>
      </c>
      <c r="T17" s="17">
        <v>210000</v>
      </c>
      <c r="U17" s="17">
        <v>240722.33</v>
      </c>
      <c r="V17" s="10">
        <v>216000</v>
      </c>
      <c r="W17" s="10">
        <v>220000</v>
      </c>
    </row>
    <row r="18" spans="1:23" ht="12.75">
      <c r="A18" s="5" t="s">
        <v>52</v>
      </c>
      <c r="B18" s="96" t="s">
        <v>53</v>
      </c>
      <c r="C18" s="20"/>
      <c r="D18" s="45"/>
      <c r="E18" s="20"/>
      <c r="F18" s="10"/>
      <c r="G18" s="20"/>
      <c r="H18" s="45"/>
      <c r="I18" s="2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662511.26</v>
      </c>
      <c r="P18" s="17">
        <v>760000</v>
      </c>
      <c r="Q18" s="17">
        <v>864167.44</v>
      </c>
      <c r="R18" s="17">
        <v>540000</v>
      </c>
      <c r="S18" s="17">
        <v>913397.38</v>
      </c>
      <c r="T18" s="17">
        <v>540000</v>
      </c>
      <c r="U18" s="17">
        <v>882539.46</v>
      </c>
      <c r="V18" s="10">
        <v>640000</v>
      </c>
      <c r="W18" s="10">
        <v>640000</v>
      </c>
    </row>
    <row r="19" spans="1:23" ht="13.5" thickBot="1">
      <c r="A19" s="5" t="s">
        <v>16</v>
      </c>
      <c r="B19" s="96" t="s">
        <v>17</v>
      </c>
      <c r="C19" s="20">
        <v>75000</v>
      </c>
      <c r="D19" s="45">
        <v>168959.72</v>
      </c>
      <c r="E19" s="20">
        <v>120000</v>
      </c>
      <c r="F19" s="10">
        <v>196879.17</v>
      </c>
      <c r="G19" s="20">
        <v>180000</v>
      </c>
      <c r="H19" s="45">
        <v>228502</v>
      </c>
      <c r="I19" s="20">
        <v>200000</v>
      </c>
      <c r="J19" s="10">
        <v>250511.64</v>
      </c>
      <c r="K19" s="10">
        <v>195700.02</v>
      </c>
      <c r="L19" s="10">
        <v>200000</v>
      </c>
      <c r="M19" s="10">
        <v>195927.28</v>
      </c>
      <c r="N19" s="10">
        <v>200000</v>
      </c>
      <c r="O19" s="10">
        <v>200311.41</v>
      </c>
      <c r="P19" s="17">
        <v>200000</v>
      </c>
      <c r="Q19" s="17">
        <v>209754.99</v>
      </c>
      <c r="R19" s="17">
        <v>200000</v>
      </c>
      <c r="S19" s="17">
        <v>222915.44</v>
      </c>
      <c r="T19" s="17">
        <v>210000</v>
      </c>
      <c r="U19" s="17">
        <v>318478.48</v>
      </c>
      <c r="V19" s="10">
        <v>250000</v>
      </c>
      <c r="W19" s="10">
        <v>300000</v>
      </c>
    </row>
    <row r="20" spans="1:23" ht="13.5" thickBot="1">
      <c r="A20" s="7"/>
      <c r="B20" s="98" t="s">
        <v>18</v>
      </c>
      <c r="C20" s="36">
        <f aca="true" t="shared" si="6" ref="C20:K20">SUM(C16:C19,C15,C12,C9)</f>
        <v>30515037</v>
      </c>
      <c r="D20" s="48">
        <f t="shared" si="6"/>
        <v>36683321.56</v>
      </c>
      <c r="E20" s="36">
        <f t="shared" si="6"/>
        <v>33731101</v>
      </c>
      <c r="F20" s="37">
        <f t="shared" si="6"/>
        <v>37224192.09</v>
      </c>
      <c r="G20" s="36">
        <f t="shared" si="6"/>
        <v>37759000</v>
      </c>
      <c r="H20" s="48">
        <f t="shared" si="6"/>
        <v>41106484.33</v>
      </c>
      <c r="I20" s="36">
        <f t="shared" si="6"/>
        <v>39111608</v>
      </c>
      <c r="J20" s="37">
        <f t="shared" si="6"/>
        <v>44141684.18</v>
      </c>
      <c r="K20" s="37">
        <f t="shared" si="6"/>
        <v>38157825.31</v>
      </c>
      <c r="L20" s="94">
        <f aca="true" t="shared" si="7" ref="L20:V20">L9+L12+L15+L16+L17+L18+L19</f>
        <v>39158000</v>
      </c>
      <c r="M20" s="94">
        <f t="shared" si="7"/>
        <v>39962660.49</v>
      </c>
      <c r="N20" s="94">
        <f t="shared" si="7"/>
        <v>39158000</v>
      </c>
      <c r="O20" s="94">
        <f t="shared" si="7"/>
        <v>40614292.18999999</v>
      </c>
      <c r="P20" s="94">
        <f t="shared" si="7"/>
        <v>37845865</v>
      </c>
      <c r="Q20" s="94">
        <f t="shared" si="7"/>
        <v>41470707.17</v>
      </c>
      <c r="R20" s="94">
        <f t="shared" si="7"/>
        <v>38321000</v>
      </c>
      <c r="S20" s="94">
        <f>S9+S12+S15+S16+S17+S18+S19</f>
        <v>43838949.4</v>
      </c>
      <c r="T20" s="94">
        <v>40410000</v>
      </c>
      <c r="U20" s="94">
        <f>U9+U12+U15+U16+U17+U18+U19</f>
        <v>45722572.65</v>
      </c>
      <c r="V20" s="94">
        <f t="shared" si="7"/>
        <v>42393667</v>
      </c>
      <c r="W20" s="94">
        <f>W9+W12+W15+W16+W17+W18+W19</f>
        <v>46130000</v>
      </c>
    </row>
    <row r="21" spans="1:23" ht="12.75">
      <c r="A21" s="8"/>
      <c r="B21" s="99"/>
      <c r="C21" s="22"/>
      <c r="D21" s="45"/>
      <c r="E21" s="20"/>
      <c r="F21" s="10"/>
      <c r="G21" s="20"/>
      <c r="H21" s="45"/>
      <c r="I21" s="2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2.75">
      <c r="A22" s="5" t="s">
        <v>19</v>
      </c>
      <c r="B22" s="96" t="s">
        <v>20</v>
      </c>
      <c r="C22" s="20">
        <v>5000</v>
      </c>
      <c r="D22" s="45">
        <v>87157.87</v>
      </c>
      <c r="E22" s="20">
        <v>5000</v>
      </c>
      <c r="F22" s="10">
        <v>107620.79</v>
      </c>
      <c r="G22" s="20">
        <v>37086</v>
      </c>
      <c r="H22" s="45">
        <v>106835.32</v>
      </c>
      <c r="I22" s="20">
        <v>5400</v>
      </c>
      <c r="J22" s="10">
        <v>127812.96</v>
      </c>
      <c r="K22" s="10">
        <v>141027.43</v>
      </c>
      <c r="L22" s="10">
        <f>5000+400</f>
        <v>5400</v>
      </c>
      <c r="M22" s="10">
        <v>133041.83</v>
      </c>
      <c r="N22" s="10">
        <v>5350</v>
      </c>
      <c r="O22" s="10">
        <v>194665.3</v>
      </c>
      <c r="P22" s="10">
        <v>5700</v>
      </c>
      <c r="Q22" s="10">
        <v>133185.37</v>
      </c>
      <c r="R22" s="10">
        <v>5700</v>
      </c>
      <c r="S22" s="10">
        <v>190639.59</v>
      </c>
      <c r="T22" s="10">
        <v>5800</v>
      </c>
      <c r="U22" s="10">
        <v>138384.46</v>
      </c>
      <c r="V22" s="10">
        <v>5500</v>
      </c>
      <c r="W22" s="10">
        <v>5500</v>
      </c>
    </row>
    <row r="23" spans="1:23" ht="12.75">
      <c r="A23" s="5" t="s">
        <v>21</v>
      </c>
      <c r="B23" s="96" t="s">
        <v>22</v>
      </c>
      <c r="C23" s="20">
        <v>3780</v>
      </c>
      <c r="D23" s="45">
        <v>129298.21</v>
      </c>
      <c r="E23" s="20">
        <v>0</v>
      </c>
      <c r="F23" s="10">
        <v>120607.81</v>
      </c>
      <c r="G23" s="20">
        <v>0</v>
      </c>
      <c r="H23" s="45">
        <v>77867.93</v>
      </c>
      <c r="I23" s="20">
        <v>0</v>
      </c>
      <c r="J23" s="10">
        <v>153933.8</v>
      </c>
      <c r="K23" s="10">
        <v>194924.5</v>
      </c>
      <c r="L23" s="10">
        <v>0</v>
      </c>
      <c r="M23" s="10">
        <v>196466.78</v>
      </c>
      <c r="N23" s="10">
        <v>0</v>
      </c>
      <c r="O23" s="10">
        <v>160239</v>
      </c>
      <c r="P23" s="10">
        <v>0</v>
      </c>
      <c r="Q23" s="10">
        <v>169728.6</v>
      </c>
      <c r="R23" s="10">
        <v>334333.3</v>
      </c>
      <c r="S23" s="10">
        <v>412194.9</v>
      </c>
      <c r="T23" s="10">
        <v>0</v>
      </c>
      <c r="U23" s="10">
        <v>56998.47</v>
      </c>
      <c r="V23" s="10">
        <v>0</v>
      </c>
      <c r="W23" s="10">
        <v>0</v>
      </c>
    </row>
    <row r="24" spans="1:23" ht="12.75">
      <c r="A24" s="5" t="s">
        <v>23</v>
      </c>
      <c r="B24" s="96" t="s">
        <v>24</v>
      </c>
      <c r="C24" s="20">
        <v>0</v>
      </c>
      <c r="D24" s="45">
        <v>0</v>
      </c>
      <c r="E24" s="20">
        <v>0</v>
      </c>
      <c r="F24" s="10">
        <v>0</v>
      </c>
      <c r="G24" s="20">
        <v>0</v>
      </c>
      <c r="H24" s="45">
        <v>0</v>
      </c>
      <c r="I24" s="2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</row>
    <row r="25" spans="1:23" ht="12.75">
      <c r="A25" s="5" t="s">
        <v>25</v>
      </c>
      <c r="B25" s="96" t="s">
        <v>26</v>
      </c>
      <c r="C25" s="20">
        <f>850000+100000+50000</f>
        <v>1000000</v>
      </c>
      <c r="D25" s="49">
        <v>1546988.52</v>
      </c>
      <c r="E25" s="57">
        <v>1005467.6</v>
      </c>
      <c r="F25" s="17">
        <v>1600956.59</v>
      </c>
      <c r="G25" s="57">
        <v>1277550</v>
      </c>
      <c r="H25" s="49">
        <v>657420.01</v>
      </c>
      <c r="I25" s="57">
        <v>260000</v>
      </c>
      <c r="J25" s="17">
        <v>1085003.32</v>
      </c>
      <c r="K25" s="17">
        <v>1465675.62</v>
      </c>
      <c r="L25" s="17">
        <v>75000</v>
      </c>
      <c r="M25" s="17">
        <v>1208885.59</v>
      </c>
      <c r="N25" s="17">
        <v>50000</v>
      </c>
      <c r="O25" s="17">
        <v>2163164.83</v>
      </c>
      <c r="P25" s="17">
        <v>521111</v>
      </c>
      <c r="Q25" s="17">
        <v>1692357.72</v>
      </c>
      <c r="R25" s="17">
        <v>171300</v>
      </c>
      <c r="S25" s="17">
        <v>4207190.33</v>
      </c>
      <c r="T25" s="17">
        <v>187750</v>
      </c>
      <c r="U25" s="17">
        <v>1050829.18</v>
      </c>
      <c r="V25" s="10">
        <v>195125</v>
      </c>
      <c r="W25" s="10">
        <v>178750</v>
      </c>
    </row>
    <row r="26" spans="1:23" ht="13.5" thickBot="1">
      <c r="A26" s="5" t="s">
        <v>27</v>
      </c>
      <c r="B26" s="96" t="s">
        <v>28</v>
      </c>
      <c r="C26" s="20">
        <v>100000</v>
      </c>
      <c r="D26" s="45">
        <v>125567.98</v>
      </c>
      <c r="E26" s="20">
        <v>80000</v>
      </c>
      <c r="F26" s="10">
        <v>188028.63</v>
      </c>
      <c r="G26" s="20">
        <v>224800</v>
      </c>
      <c r="H26" s="45">
        <v>248644.93</v>
      </c>
      <c r="I26" s="20">
        <f>35000+3800+300+200+300+400+100000+89829+100000</f>
        <v>329829</v>
      </c>
      <c r="J26" s="10">
        <v>273851.59</v>
      </c>
      <c r="K26" s="10">
        <v>255725.38</v>
      </c>
      <c r="L26" s="10">
        <f>750+49000+100000+135000+700+700</f>
        <v>286150</v>
      </c>
      <c r="M26" s="10">
        <v>203325.46</v>
      </c>
      <c r="N26" s="10">
        <v>288250</v>
      </c>
      <c r="O26" s="10">
        <v>227588.66</v>
      </c>
      <c r="P26" s="10">
        <v>268100</v>
      </c>
      <c r="Q26" s="10">
        <v>286284.59</v>
      </c>
      <c r="R26" s="10">
        <v>339800</v>
      </c>
      <c r="S26" s="10">
        <v>410112.59</v>
      </c>
      <c r="T26" s="10">
        <v>332900</v>
      </c>
      <c r="U26" s="10">
        <v>395449.04</v>
      </c>
      <c r="V26" s="10">
        <v>267900</v>
      </c>
      <c r="W26" s="10">
        <v>262900</v>
      </c>
    </row>
    <row r="27" spans="1:23" ht="13.5" thickBot="1">
      <c r="A27" s="7"/>
      <c r="B27" s="98" t="s">
        <v>29</v>
      </c>
      <c r="C27" s="36">
        <f aca="true" t="shared" si="8" ref="C27:V27">SUM(C22:C26)</f>
        <v>1108780</v>
      </c>
      <c r="D27" s="48">
        <f t="shared" si="8"/>
        <v>1889012.58</v>
      </c>
      <c r="E27" s="36">
        <f t="shared" si="8"/>
        <v>1090467.6</v>
      </c>
      <c r="F27" s="37">
        <f t="shared" si="8"/>
        <v>2017213.8199999998</v>
      </c>
      <c r="G27" s="36">
        <f t="shared" si="8"/>
        <v>1539436</v>
      </c>
      <c r="H27" s="48">
        <f t="shared" si="8"/>
        <v>1090768.19</v>
      </c>
      <c r="I27" s="36">
        <f t="shared" si="8"/>
        <v>595229</v>
      </c>
      <c r="J27" s="37">
        <f t="shared" si="8"/>
        <v>1640601.6700000002</v>
      </c>
      <c r="K27" s="37">
        <f t="shared" si="8"/>
        <v>2057352.9300000002</v>
      </c>
      <c r="L27" s="37">
        <f t="shared" si="8"/>
        <v>366550</v>
      </c>
      <c r="M27" s="37">
        <f t="shared" si="8"/>
        <v>1741719.6600000001</v>
      </c>
      <c r="N27" s="37">
        <f t="shared" si="8"/>
        <v>343600</v>
      </c>
      <c r="O27" s="37">
        <f t="shared" si="8"/>
        <v>2745657.79</v>
      </c>
      <c r="P27" s="37">
        <f t="shared" si="8"/>
        <v>794911</v>
      </c>
      <c r="Q27" s="37">
        <f t="shared" si="8"/>
        <v>2281556.28</v>
      </c>
      <c r="R27" s="37">
        <f t="shared" si="8"/>
        <v>851133.3</v>
      </c>
      <c r="S27" s="37">
        <f t="shared" si="8"/>
        <v>5220137.41</v>
      </c>
      <c r="T27" s="37">
        <f t="shared" si="8"/>
        <v>526450</v>
      </c>
      <c r="U27" s="37">
        <f>SUM(U22:U26)</f>
        <v>1641661.15</v>
      </c>
      <c r="V27" s="37">
        <f t="shared" si="8"/>
        <v>468525</v>
      </c>
      <c r="W27" s="37">
        <f>SUM(W22:W26)</f>
        <v>447150</v>
      </c>
    </row>
    <row r="28" spans="1:23" ht="12.75">
      <c r="A28" s="8"/>
      <c r="B28" s="99"/>
      <c r="C28" s="22"/>
      <c r="D28" s="50"/>
      <c r="E28" s="22"/>
      <c r="F28" s="13"/>
      <c r="G28" s="22"/>
      <c r="H28" s="50"/>
      <c r="I28" s="2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13.5" thickBot="1">
      <c r="A29" s="6" t="s">
        <v>30</v>
      </c>
      <c r="B29" s="100" t="s">
        <v>31</v>
      </c>
      <c r="C29" s="23"/>
      <c r="D29" s="51">
        <v>0</v>
      </c>
      <c r="E29" s="23">
        <v>0</v>
      </c>
      <c r="F29" s="11">
        <v>0</v>
      </c>
      <c r="G29" s="23">
        <v>0</v>
      </c>
      <c r="H29" s="51">
        <v>0</v>
      </c>
      <c r="I29" s="23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0">
        <v>0</v>
      </c>
      <c r="W29" s="10">
        <v>0</v>
      </c>
    </row>
    <row r="30" spans="1:23" ht="13.5" thickBot="1">
      <c r="A30" s="15"/>
      <c r="B30" s="98" t="s">
        <v>32</v>
      </c>
      <c r="C30" s="36">
        <f aca="true" t="shared" si="9" ref="C30:W30">SUM(C29:C29)</f>
        <v>0</v>
      </c>
      <c r="D30" s="48">
        <f t="shared" si="9"/>
        <v>0</v>
      </c>
      <c r="E30" s="36">
        <f t="shared" si="9"/>
        <v>0</v>
      </c>
      <c r="F30" s="37">
        <f t="shared" si="9"/>
        <v>0</v>
      </c>
      <c r="G30" s="36">
        <f t="shared" si="9"/>
        <v>0</v>
      </c>
      <c r="H30" s="48">
        <f t="shared" si="9"/>
        <v>0</v>
      </c>
      <c r="I30" s="36">
        <f t="shared" si="9"/>
        <v>0</v>
      </c>
      <c r="J30" s="37">
        <f t="shared" si="9"/>
        <v>0</v>
      </c>
      <c r="K30" s="37">
        <f t="shared" si="9"/>
        <v>0</v>
      </c>
      <c r="L30" s="37">
        <f t="shared" si="9"/>
        <v>0</v>
      </c>
      <c r="M30" s="37">
        <f t="shared" si="9"/>
        <v>0</v>
      </c>
      <c r="N30" s="37">
        <f t="shared" si="9"/>
        <v>0</v>
      </c>
      <c r="O30" s="37">
        <f t="shared" si="9"/>
        <v>0</v>
      </c>
      <c r="P30" s="37">
        <f t="shared" si="9"/>
        <v>0</v>
      </c>
      <c r="Q30" s="37">
        <f t="shared" si="9"/>
        <v>0</v>
      </c>
      <c r="R30" s="37">
        <f t="shared" si="9"/>
        <v>0</v>
      </c>
      <c r="S30" s="37">
        <f>SUM(S29:S29)</f>
        <v>0</v>
      </c>
      <c r="T30" s="37">
        <v>0</v>
      </c>
      <c r="U30" s="147">
        <v>0</v>
      </c>
      <c r="V30" s="37">
        <f t="shared" si="9"/>
        <v>0</v>
      </c>
      <c r="W30" s="37">
        <f t="shared" si="9"/>
        <v>0</v>
      </c>
    </row>
    <row r="31" spans="1:23" ht="13.5" thickBot="1">
      <c r="A31" s="7"/>
      <c r="B31" s="101"/>
      <c r="C31" s="21"/>
      <c r="D31" s="52"/>
      <c r="E31" s="21"/>
      <c r="F31" s="12"/>
      <c r="G31" s="21"/>
      <c r="H31" s="52"/>
      <c r="I31" s="2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3.5" thickBot="1">
      <c r="A32" s="80"/>
      <c r="B32" s="95" t="s">
        <v>33</v>
      </c>
      <c r="C32" s="88">
        <f aca="true" t="shared" si="10" ref="C32:K32">SUM(C30,C27,C20)</f>
        <v>31623817</v>
      </c>
      <c r="D32" s="87">
        <f t="shared" si="10"/>
        <v>38572334.14</v>
      </c>
      <c r="E32" s="86">
        <f t="shared" si="10"/>
        <v>34821568.6</v>
      </c>
      <c r="F32" s="88">
        <f t="shared" si="10"/>
        <v>39241405.910000004</v>
      </c>
      <c r="G32" s="86">
        <f t="shared" si="10"/>
        <v>39298436</v>
      </c>
      <c r="H32" s="87">
        <f t="shared" si="10"/>
        <v>42197252.519999996</v>
      </c>
      <c r="I32" s="86">
        <f t="shared" si="10"/>
        <v>39706837</v>
      </c>
      <c r="J32" s="88">
        <f t="shared" si="10"/>
        <v>45782285.85</v>
      </c>
      <c r="K32" s="88">
        <f t="shared" si="10"/>
        <v>40215178.24</v>
      </c>
      <c r="L32" s="88">
        <f aca="true" t="shared" si="11" ref="L32:S32">L20+L27+L30</f>
        <v>39524550</v>
      </c>
      <c r="M32" s="88">
        <f t="shared" si="11"/>
        <v>41704380.150000006</v>
      </c>
      <c r="N32" s="88">
        <f t="shared" si="11"/>
        <v>39501600</v>
      </c>
      <c r="O32" s="88">
        <f t="shared" si="11"/>
        <v>43359949.97999999</v>
      </c>
      <c r="P32" s="88">
        <f t="shared" si="11"/>
        <v>38640776</v>
      </c>
      <c r="Q32" s="88">
        <f t="shared" si="11"/>
        <v>43752263.45</v>
      </c>
      <c r="R32" s="88">
        <f t="shared" si="11"/>
        <v>39172133.3</v>
      </c>
      <c r="S32" s="88">
        <f t="shared" si="11"/>
        <v>49059086.81</v>
      </c>
      <c r="T32" s="88">
        <v>40936450</v>
      </c>
      <c r="U32" s="88">
        <f>U20+U27</f>
        <v>47364233.8</v>
      </c>
      <c r="V32" s="88">
        <f>V20+V27+V30</f>
        <v>42862192</v>
      </c>
      <c r="W32" s="88">
        <f>W20+W27</f>
        <v>46577150</v>
      </c>
    </row>
    <row r="33" spans="1:23" ht="12.75">
      <c r="A33" s="5">
        <v>4112</v>
      </c>
      <c r="B33" s="96" t="s">
        <v>57</v>
      </c>
      <c r="C33" s="10">
        <v>407409</v>
      </c>
      <c r="D33" s="45">
        <v>407409</v>
      </c>
      <c r="E33" s="20">
        <v>435391</v>
      </c>
      <c r="F33" s="10">
        <v>421064.96</v>
      </c>
      <c r="G33" s="20">
        <v>114816</v>
      </c>
      <c r="H33" s="49">
        <v>114816</v>
      </c>
      <c r="I33" s="20">
        <v>116345</v>
      </c>
      <c r="J33" s="10">
        <v>116345</v>
      </c>
      <c r="K33" s="10">
        <v>121267</v>
      </c>
      <c r="L33" s="17">
        <v>137783</v>
      </c>
      <c r="M33" s="17">
        <v>137783</v>
      </c>
      <c r="N33" s="17">
        <v>131979</v>
      </c>
      <c r="O33" s="17">
        <v>131979</v>
      </c>
      <c r="P33" s="17">
        <v>131033</v>
      </c>
      <c r="Q33" s="17">
        <v>131033</v>
      </c>
      <c r="R33" s="17">
        <v>131345</v>
      </c>
      <c r="S33" s="17">
        <v>131345</v>
      </c>
      <c r="T33" s="17">
        <v>814349</v>
      </c>
      <c r="U33" s="17">
        <v>814349</v>
      </c>
      <c r="V33" s="10">
        <v>833725.3</v>
      </c>
      <c r="W33" s="10">
        <v>0</v>
      </c>
    </row>
    <row r="34" spans="1:23" ht="12.75">
      <c r="A34" s="5">
        <v>4116</v>
      </c>
      <c r="B34" s="96" t="s">
        <v>41</v>
      </c>
      <c r="C34" s="10">
        <v>0</v>
      </c>
      <c r="D34" s="53">
        <v>6503882</v>
      </c>
      <c r="E34" s="20">
        <v>0</v>
      </c>
      <c r="F34" s="17">
        <v>6724949</v>
      </c>
      <c r="G34" s="20">
        <v>0</v>
      </c>
      <c r="H34" s="45">
        <v>7989161.7</v>
      </c>
      <c r="I34" s="20">
        <v>0</v>
      </c>
      <c r="J34" s="17">
        <v>8245848.6</v>
      </c>
      <c r="K34" s="17">
        <v>8845424.1</v>
      </c>
      <c r="L34" s="10">
        <v>0</v>
      </c>
      <c r="M34" s="17">
        <v>8686997.17</v>
      </c>
      <c r="N34" s="10">
        <v>0</v>
      </c>
      <c r="O34" s="10">
        <v>8962323.62</v>
      </c>
      <c r="P34" s="10">
        <v>0</v>
      </c>
      <c r="Q34" s="10">
        <v>9224935.5</v>
      </c>
      <c r="R34" s="10">
        <v>0</v>
      </c>
      <c r="S34" s="17">
        <v>10347958.5</v>
      </c>
      <c r="T34" s="10">
        <v>0</v>
      </c>
      <c r="U34" s="10">
        <v>10194344.8</v>
      </c>
      <c r="V34" s="10">
        <v>0</v>
      </c>
      <c r="W34" s="10">
        <v>0</v>
      </c>
    </row>
    <row r="35" spans="1:23" ht="12.75">
      <c r="A35" s="5">
        <v>4121</v>
      </c>
      <c r="B35" s="96" t="s">
        <v>58</v>
      </c>
      <c r="C35" s="10">
        <v>-3111564</v>
      </c>
      <c r="D35" s="49">
        <v>-3111564</v>
      </c>
      <c r="E35" s="57">
        <v>-3190082.6</v>
      </c>
      <c r="F35" s="17">
        <v>-3190082.6</v>
      </c>
      <c r="G35" s="57">
        <v>-3258222</v>
      </c>
      <c r="H35" s="49">
        <v>-3258222</v>
      </c>
      <c r="I35" s="57">
        <v>-3422139.6</v>
      </c>
      <c r="J35" s="17">
        <v>-3422139.6</v>
      </c>
      <c r="K35" s="17">
        <v>-3748223.5</v>
      </c>
      <c r="L35" s="17">
        <v>-3534916</v>
      </c>
      <c r="M35" s="17">
        <v>-3534916</v>
      </c>
      <c r="N35" s="17">
        <v>-3454549</v>
      </c>
      <c r="O35" s="17">
        <v>-3454549</v>
      </c>
      <c r="P35" s="17">
        <v>-3300538</v>
      </c>
      <c r="Q35" s="17">
        <v>-3300538</v>
      </c>
      <c r="R35" s="17">
        <v>-3403500.6</v>
      </c>
      <c r="S35" s="17">
        <v>-3370000.6</v>
      </c>
      <c r="T35" s="17">
        <v>0</v>
      </c>
      <c r="U35" s="17">
        <v>0</v>
      </c>
      <c r="V35" s="10">
        <v>0</v>
      </c>
      <c r="W35" s="10">
        <v>0</v>
      </c>
    </row>
    <row r="36" spans="1:23" ht="12.75">
      <c r="A36" s="5">
        <v>4131.2</v>
      </c>
      <c r="B36" s="96" t="s">
        <v>59</v>
      </c>
      <c r="C36" s="10">
        <v>273000</v>
      </c>
      <c r="D36" s="45">
        <v>941970.95</v>
      </c>
      <c r="E36" s="20">
        <v>638104</v>
      </c>
      <c r="F36" s="10">
        <v>806357.84</v>
      </c>
      <c r="G36" s="20">
        <v>632229</v>
      </c>
      <c r="H36" s="45">
        <v>599695.77</v>
      </c>
      <c r="I36" s="20">
        <v>801550</v>
      </c>
      <c r="J36" s="10">
        <v>1005256.07</v>
      </c>
      <c r="K36" s="10">
        <v>1463478.52</v>
      </c>
      <c r="L36" s="10">
        <v>1272288</v>
      </c>
      <c r="M36" s="10">
        <v>1122557.18</v>
      </c>
      <c r="N36" s="17">
        <v>1200000</v>
      </c>
      <c r="O36" s="17">
        <v>482932.21</v>
      </c>
      <c r="P36" s="10">
        <v>394936</v>
      </c>
      <c r="Q36" s="10">
        <v>556078.62</v>
      </c>
      <c r="R36" s="10">
        <v>895811</v>
      </c>
      <c r="S36" s="10">
        <v>1235251.75</v>
      </c>
      <c r="T36" s="10">
        <v>340327</v>
      </c>
      <c r="U36" s="10">
        <v>1744423.88</v>
      </c>
      <c r="V36" s="10">
        <v>717455</v>
      </c>
      <c r="W36" s="10">
        <v>596535</v>
      </c>
    </row>
    <row r="37" spans="1:23" ht="13.5" thickBot="1">
      <c r="A37" s="6">
        <v>4137</v>
      </c>
      <c r="B37" s="100" t="s">
        <v>68</v>
      </c>
      <c r="C37" s="11"/>
      <c r="D37" s="51"/>
      <c r="E37" s="23"/>
      <c r="F37" s="11"/>
      <c r="G37" s="23"/>
      <c r="H37" s="51"/>
      <c r="I37" s="23"/>
      <c r="J37" s="11"/>
      <c r="K37" s="11"/>
      <c r="L37" s="11">
        <v>0</v>
      </c>
      <c r="M37" s="11">
        <v>0</v>
      </c>
      <c r="N37" s="132">
        <v>0</v>
      </c>
      <c r="O37" s="132">
        <v>0</v>
      </c>
      <c r="P37" s="11">
        <v>0</v>
      </c>
      <c r="Q37" s="11">
        <v>0</v>
      </c>
      <c r="R37" s="11">
        <v>0</v>
      </c>
      <c r="S37" s="11">
        <v>0</v>
      </c>
      <c r="T37" s="11">
        <v>10075.3</v>
      </c>
      <c r="U37" s="11">
        <v>180031.43</v>
      </c>
      <c r="V37" s="11">
        <v>10075.3</v>
      </c>
      <c r="W37" s="132">
        <v>12875.3</v>
      </c>
    </row>
    <row r="38" spans="1:23" ht="13.5" thickBot="1">
      <c r="A38" s="7"/>
      <c r="B38" s="98" t="s">
        <v>43</v>
      </c>
      <c r="C38" s="37">
        <f aca="true" t="shared" si="12" ref="C38:K38">SUM(C33:C36)</f>
        <v>-2431155</v>
      </c>
      <c r="D38" s="54">
        <f t="shared" si="12"/>
        <v>4741697.95</v>
      </c>
      <c r="E38" s="36">
        <f t="shared" si="12"/>
        <v>-2116587.6</v>
      </c>
      <c r="F38" s="36">
        <f t="shared" si="12"/>
        <v>4762289.2</v>
      </c>
      <c r="G38" s="36">
        <f t="shared" si="12"/>
        <v>-2511177</v>
      </c>
      <c r="H38" s="54">
        <f t="shared" si="12"/>
        <v>5445451.470000001</v>
      </c>
      <c r="I38" s="36">
        <f t="shared" si="12"/>
        <v>-2504244.6</v>
      </c>
      <c r="J38" s="37">
        <f t="shared" si="12"/>
        <v>5945310.07</v>
      </c>
      <c r="K38" s="36">
        <f t="shared" si="12"/>
        <v>6681946.119999999</v>
      </c>
      <c r="L38" s="36">
        <f aca="true" t="shared" si="13" ref="L38:V38">SUM(L33:L37)</f>
        <v>-2124845</v>
      </c>
      <c r="M38" s="36">
        <f t="shared" si="13"/>
        <v>6412421.35</v>
      </c>
      <c r="N38" s="36">
        <f t="shared" si="13"/>
        <v>-2122570</v>
      </c>
      <c r="O38" s="36">
        <f t="shared" si="13"/>
        <v>6122685.829999999</v>
      </c>
      <c r="P38" s="36">
        <f t="shared" si="13"/>
        <v>-2774569</v>
      </c>
      <c r="Q38" s="36">
        <f t="shared" si="13"/>
        <v>6611509.12</v>
      </c>
      <c r="R38" s="36">
        <f t="shared" si="13"/>
        <v>-2376344.6</v>
      </c>
      <c r="S38" s="36">
        <f t="shared" si="13"/>
        <v>8344554.65</v>
      </c>
      <c r="T38" s="36">
        <f t="shared" si="13"/>
        <v>1164751.3</v>
      </c>
      <c r="U38" s="36">
        <f>SUM(U33:U37)</f>
        <v>12933149.11</v>
      </c>
      <c r="V38" s="36">
        <f t="shared" si="13"/>
        <v>1561255.6</v>
      </c>
      <c r="W38" s="36">
        <f>SUM(W33:W37)</f>
        <v>609410.3</v>
      </c>
    </row>
    <row r="39" spans="1:23" ht="13.5" thickBot="1">
      <c r="A39" s="80"/>
      <c r="B39" s="95" t="s">
        <v>65</v>
      </c>
      <c r="C39" s="88">
        <f aca="true" t="shared" si="14" ref="C39:K39">SUM(C38,C32)</f>
        <v>29192662</v>
      </c>
      <c r="D39" s="89">
        <f t="shared" si="14"/>
        <v>43314032.09</v>
      </c>
      <c r="E39" s="86">
        <f t="shared" si="14"/>
        <v>32704981</v>
      </c>
      <c r="F39" s="86">
        <f t="shared" si="14"/>
        <v>44003695.11000001</v>
      </c>
      <c r="G39" s="86">
        <f t="shared" si="14"/>
        <v>36787259</v>
      </c>
      <c r="H39" s="89">
        <f t="shared" si="14"/>
        <v>47642703.989999995</v>
      </c>
      <c r="I39" s="86">
        <f t="shared" si="14"/>
        <v>37202592.4</v>
      </c>
      <c r="J39" s="88">
        <f t="shared" si="14"/>
        <v>51727595.92</v>
      </c>
      <c r="K39" s="86">
        <f t="shared" si="14"/>
        <v>46897124.36</v>
      </c>
      <c r="L39" s="86">
        <f aca="true" t="shared" si="15" ref="L39:S39">L32+L38</f>
        <v>37399705</v>
      </c>
      <c r="M39" s="86">
        <f t="shared" si="15"/>
        <v>48116801.50000001</v>
      </c>
      <c r="N39" s="86">
        <f t="shared" si="15"/>
        <v>37379030</v>
      </c>
      <c r="O39" s="86">
        <f t="shared" si="15"/>
        <v>49482635.80999999</v>
      </c>
      <c r="P39" s="86">
        <f t="shared" si="15"/>
        <v>35866207</v>
      </c>
      <c r="Q39" s="86">
        <f t="shared" si="15"/>
        <v>50363772.57</v>
      </c>
      <c r="R39" s="86">
        <f t="shared" si="15"/>
        <v>36795788.699999996</v>
      </c>
      <c r="S39" s="86">
        <f t="shared" si="15"/>
        <v>57403641.46</v>
      </c>
      <c r="T39" s="86">
        <v>42101201.3</v>
      </c>
      <c r="U39" s="86">
        <f>U32+U38</f>
        <v>60297382.91</v>
      </c>
      <c r="V39" s="86">
        <f>V32+V38</f>
        <v>44423447.6</v>
      </c>
      <c r="W39" s="86">
        <f>W32+W38</f>
        <v>47186560.3</v>
      </c>
    </row>
    <row r="40" spans="1:23" ht="13.5" thickBot="1">
      <c r="A40" s="9"/>
      <c r="B40" s="108"/>
      <c r="C40" s="14"/>
      <c r="D40" s="55"/>
      <c r="E40" s="24"/>
      <c r="F40" s="14"/>
      <c r="G40" s="24"/>
      <c r="H40" s="55"/>
      <c r="I40" s="2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3.5" thickBot="1">
      <c r="A41" s="80"/>
      <c r="B41" s="95" t="s">
        <v>34</v>
      </c>
      <c r="C41" s="102"/>
      <c r="D41" s="87"/>
      <c r="E41" s="86"/>
      <c r="F41" s="86"/>
      <c r="G41" s="86"/>
      <c r="H41" s="89"/>
      <c r="I41" s="86"/>
      <c r="J41" s="88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2.75">
      <c r="A42" s="38">
        <v>8115</v>
      </c>
      <c r="B42" s="109" t="s">
        <v>61</v>
      </c>
      <c r="C42" s="103">
        <v>0</v>
      </c>
      <c r="D42" s="45">
        <v>0</v>
      </c>
      <c r="E42" s="20">
        <v>0</v>
      </c>
      <c r="F42" s="10">
        <v>0</v>
      </c>
      <c r="G42" s="20">
        <v>0</v>
      </c>
      <c r="H42" s="45">
        <v>0</v>
      </c>
      <c r="I42" s="20">
        <v>0</v>
      </c>
      <c r="J42" s="10">
        <v>0</v>
      </c>
      <c r="K42" s="10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906192.6</v>
      </c>
    </row>
    <row r="43" spans="1:23" ht="12.75">
      <c r="A43" s="39">
        <v>8115</v>
      </c>
      <c r="B43" s="110" t="s">
        <v>42</v>
      </c>
      <c r="C43" s="104">
        <v>6116725</v>
      </c>
      <c r="D43" s="45">
        <v>0</v>
      </c>
      <c r="E43" s="20">
        <v>6485732</v>
      </c>
      <c r="F43" s="10">
        <v>0</v>
      </c>
      <c r="G43" s="20">
        <v>6693429</v>
      </c>
      <c r="H43" s="45">
        <v>0</v>
      </c>
      <c r="I43" s="20">
        <f>7035808+342379</f>
        <v>7378187</v>
      </c>
      <c r="J43" s="10">
        <v>0</v>
      </c>
      <c r="K43" s="10">
        <v>0</v>
      </c>
      <c r="L43" s="10">
        <v>7506179</v>
      </c>
      <c r="M43" s="10">
        <v>0</v>
      </c>
      <c r="N43" s="10">
        <v>7351374</v>
      </c>
      <c r="O43" s="10">
        <v>0</v>
      </c>
      <c r="P43" s="10">
        <v>7837893</v>
      </c>
      <c r="Q43" s="10">
        <v>0</v>
      </c>
      <c r="R43" s="10">
        <v>8128218</v>
      </c>
      <c r="S43" s="10">
        <v>0</v>
      </c>
      <c r="T43" s="10">
        <v>8395863</v>
      </c>
      <c r="U43" s="10">
        <v>0</v>
      </c>
      <c r="V43" s="10">
        <v>8634385</v>
      </c>
      <c r="W43" s="10">
        <v>9511237</v>
      </c>
    </row>
    <row r="44" spans="1:23" ht="12.75">
      <c r="A44" s="39">
        <v>8115</v>
      </c>
      <c r="B44" s="111" t="s">
        <v>45</v>
      </c>
      <c r="C44" s="105">
        <v>2300000</v>
      </c>
      <c r="D44" s="45">
        <v>2300000</v>
      </c>
      <c r="E44" s="20">
        <v>2000000</v>
      </c>
      <c r="F44" s="10">
        <v>2000000</v>
      </c>
      <c r="G44" s="20">
        <v>0</v>
      </c>
      <c r="H44" s="45">
        <v>0</v>
      </c>
      <c r="I44" s="20">
        <v>0</v>
      </c>
      <c r="J44" s="10">
        <v>0</v>
      </c>
      <c r="K44" s="10">
        <v>0</v>
      </c>
      <c r="L44" s="10">
        <v>1000000</v>
      </c>
      <c r="M44" s="10">
        <v>1000000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2500000</v>
      </c>
      <c r="U44" s="10">
        <v>2500000</v>
      </c>
      <c r="V44" s="10">
        <v>2500000</v>
      </c>
      <c r="W44" s="10">
        <v>7800000</v>
      </c>
    </row>
    <row r="45" spans="1:23" ht="12.75">
      <c r="A45" s="39">
        <v>8115</v>
      </c>
      <c r="B45" s="111" t="s">
        <v>73</v>
      </c>
      <c r="C45" s="105"/>
      <c r="D45" s="45"/>
      <c r="E45" s="20"/>
      <c r="F45" s="10"/>
      <c r="G45" s="20"/>
      <c r="H45" s="45"/>
      <c r="I45" s="20"/>
      <c r="J45" s="10"/>
      <c r="K45" s="10"/>
      <c r="L45" s="10"/>
      <c r="M45" s="10"/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253473.3</v>
      </c>
    </row>
    <row r="46" spans="1:23" ht="13.5" thickBot="1">
      <c r="A46" s="5">
        <v>8115</v>
      </c>
      <c r="B46" s="67" t="s">
        <v>60</v>
      </c>
      <c r="C46" s="106">
        <v>4176794.1</v>
      </c>
      <c r="D46" s="45">
        <v>4176794.1</v>
      </c>
      <c r="E46" s="20">
        <v>2599682.3</v>
      </c>
      <c r="F46" s="10">
        <v>2599682.3</v>
      </c>
      <c r="G46" s="20">
        <v>3459472.3</v>
      </c>
      <c r="H46" s="45">
        <v>3459472.3</v>
      </c>
      <c r="I46" s="20">
        <v>1008790</v>
      </c>
      <c r="J46" s="10">
        <v>1008790</v>
      </c>
      <c r="K46" s="10">
        <v>3916270</v>
      </c>
      <c r="L46" s="10">
        <v>1275083.7</v>
      </c>
      <c r="M46" s="10">
        <v>1275083.7</v>
      </c>
      <c r="N46" s="17">
        <f>1709930.6+52650</f>
        <v>1762580.6</v>
      </c>
      <c r="O46" s="17">
        <v>1762580.6</v>
      </c>
      <c r="P46" s="10">
        <v>1612192.3</v>
      </c>
      <c r="Q46" s="10">
        <v>1612192.3</v>
      </c>
      <c r="R46" s="10">
        <v>4421605</v>
      </c>
      <c r="S46" s="10">
        <v>4421605</v>
      </c>
      <c r="T46" s="10">
        <v>4648892.44</v>
      </c>
      <c r="U46" s="10">
        <v>4648892.44</v>
      </c>
      <c r="V46" s="10">
        <v>4827796.6</v>
      </c>
      <c r="W46" s="10">
        <v>2985617.1</v>
      </c>
    </row>
    <row r="47" spans="1:23" ht="12.75">
      <c r="A47" s="5">
        <v>8115</v>
      </c>
      <c r="B47" s="112" t="s">
        <v>76</v>
      </c>
      <c r="C47" s="105"/>
      <c r="D47" s="45"/>
      <c r="E47" s="20"/>
      <c r="F47" s="10"/>
      <c r="G47" s="20"/>
      <c r="H47" s="45"/>
      <c r="I47" s="20"/>
      <c r="J47" s="10"/>
      <c r="K47" s="10"/>
      <c r="L47" s="10"/>
      <c r="M47" s="10"/>
      <c r="N47" s="17">
        <v>0</v>
      </c>
      <c r="O47" s="17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136708</v>
      </c>
    </row>
    <row r="48" spans="1:23" ht="12.75">
      <c r="A48" s="5">
        <v>8115</v>
      </c>
      <c r="B48" s="112" t="s">
        <v>47</v>
      </c>
      <c r="C48" s="107"/>
      <c r="D48" s="45"/>
      <c r="E48" s="20"/>
      <c r="F48" s="10"/>
      <c r="G48" s="20">
        <v>0</v>
      </c>
      <c r="H48" s="45">
        <v>0</v>
      </c>
      <c r="I48" s="2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</row>
    <row r="49" spans="1:23" ht="12.75">
      <c r="A49" s="5">
        <v>8121</v>
      </c>
      <c r="B49" s="112" t="s">
        <v>48</v>
      </c>
      <c r="C49" s="107"/>
      <c r="D49" s="45"/>
      <c r="E49" s="20"/>
      <c r="F49" s="10"/>
      <c r="G49" s="20"/>
      <c r="H49" s="45"/>
      <c r="I49" s="20">
        <v>0</v>
      </c>
      <c r="J49" s="10">
        <v>0</v>
      </c>
      <c r="K49" s="10">
        <v>0</v>
      </c>
      <c r="L49" s="10">
        <v>5000000</v>
      </c>
      <c r="M49" s="10">
        <v>5000000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</row>
    <row r="50" spans="1:23" ht="12.75">
      <c r="A50" s="68" t="s">
        <v>46</v>
      </c>
      <c r="B50" s="111" t="s">
        <v>38</v>
      </c>
      <c r="C50" s="104">
        <v>14901</v>
      </c>
      <c r="D50" s="45">
        <v>14901</v>
      </c>
      <c r="E50" s="20">
        <v>15234</v>
      </c>
      <c r="F50" s="10">
        <v>15234</v>
      </c>
      <c r="G50" s="20">
        <v>10944.7</v>
      </c>
      <c r="H50" s="45">
        <v>10944.7</v>
      </c>
      <c r="I50" s="20">
        <v>13308.6</v>
      </c>
      <c r="J50" s="10">
        <v>13308.6</v>
      </c>
      <c r="K50" s="10">
        <v>5965.7</v>
      </c>
      <c r="L50" s="17">
        <v>2826.7</v>
      </c>
      <c r="M50" s="17">
        <v>2826.7</v>
      </c>
      <c r="N50" s="17">
        <v>3055.5</v>
      </c>
      <c r="O50" s="17">
        <v>3034.33</v>
      </c>
      <c r="P50" s="17">
        <v>7400</v>
      </c>
      <c r="Q50" s="17">
        <v>7400</v>
      </c>
      <c r="R50" s="17">
        <v>4852.7</v>
      </c>
      <c r="S50" s="17">
        <v>4852.7</v>
      </c>
      <c r="T50" s="17">
        <v>0</v>
      </c>
      <c r="U50" s="17">
        <v>0</v>
      </c>
      <c r="V50" s="10">
        <v>0</v>
      </c>
      <c r="W50" s="10">
        <v>0</v>
      </c>
    </row>
    <row r="51" spans="1:23" ht="13.5" thickBot="1">
      <c r="A51" s="6">
        <v>8223</v>
      </c>
      <c r="B51" s="122" t="s">
        <v>70</v>
      </c>
      <c r="C51" s="105"/>
      <c r="D51" s="51"/>
      <c r="E51" s="23"/>
      <c r="F51" s="11"/>
      <c r="G51" s="23"/>
      <c r="H51" s="51"/>
      <c r="I51" s="23"/>
      <c r="J51" s="11"/>
      <c r="K51" s="11"/>
      <c r="L51" s="11">
        <v>0</v>
      </c>
      <c r="M51" s="11">
        <v>0</v>
      </c>
      <c r="N51" s="11">
        <v>0</v>
      </c>
      <c r="O51" s="11">
        <v>6000000</v>
      </c>
      <c r="P51" s="11">
        <v>0</v>
      </c>
      <c r="Q51" s="11">
        <v>2500000</v>
      </c>
      <c r="R51" s="11">
        <v>0</v>
      </c>
      <c r="S51" s="11">
        <v>0</v>
      </c>
      <c r="T51" s="11">
        <v>0</v>
      </c>
      <c r="U51" s="11">
        <v>0</v>
      </c>
      <c r="V51" s="10">
        <v>0</v>
      </c>
      <c r="W51" s="10">
        <v>0</v>
      </c>
    </row>
    <row r="52" spans="1:23" ht="13.5" thickBot="1">
      <c r="A52" s="80"/>
      <c r="B52" s="95" t="s">
        <v>66</v>
      </c>
      <c r="C52" s="88">
        <f>SUM(C42:C46)</f>
        <v>12593519.1</v>
      </c>
      <c r="D52" s="89">
        <f>SUM(D42:D46)</f>
        <v>6476794.1</v>
      </c>
      <c r="E52" s="86">
        <f>SUM(E42:E46)</f>
        <v>11085414.3</v>
      </c>
      <c r="F52" s="86">
        <f>SUM(F42:F46)</f>
        <v>4599682.3</v>
      </c>
      <c r="G52" s="86">
        <f aca="true" t="shared" si="16" ref="G52:N52">SUM(G42:G51)</f>
        <v>10163846</v>
      </c>
      <c r="H52" s="89">
        <f t="shared" si="16"/>
        <v>3470417</v>
      </c>
      <c r="I52" s="86">
        <f t="shared" si="16"/>
        <v>8400285.6</v>
      </c>
      <c r="J52" s="88">
        <f t="shared" si="16"/>
        <v>1022098.6</v>
      </c>
      <c r="K52" s="86">
        <f t="shared" si="16"/>
        <v>3922235.7</v>
      </c>
      <c r="L52" s="86">
        <f t="shared" si="16"/>
        <v>14784089.399999999</v>
      </c>
      <c r="M52" s="86">
        <f t="shared" si="16"/>
        <v>7277910.4</v>
      </c>
      <c r="N52" s="86">
        <f t="shared" si="16"/>
        <v>9117010.1</v>
      </c>
      <c r="O52" s="86">
        <f>SUM(O46:O51)</f>
        <v>7765614.93</v>
      </c>
      <c r="P52" s="86">
        <f aca="true" t="shared" si="17" ref="P52:W52">SUM(P42:P51)</f>
        <v>9457485.3</v>
      </c>
      <c r="Q52" s="86">
        <f t="shared" si="17"/>
        <v>4119592.3</v>
      </c>
      <c r="R52" s="86">
        <f t="shared" si="17"/>
        <v>12554675.7</v>
      </c>
      <c r="S52" s="86">
        <f t="shared" si="17"/>
        <v>4426457.7</v>
      </c>
      <c r="T52" s="86">
        <f t="shared" si="17"/>
        <v>15544755.440000001</v>
      </c>
      <c r="U52" s="86">
        <f t="shared" si="17"/>
        <v>7148892.44</v>
      </c>
      <c r="V52" s="86">
        <f t="shared" si="17"/>
        <v>15962181.6</v>
      </c>
      <c r="W52" s="86">
        <f t="shared" si="17"/>
        <v>21593228.000000004</v>
      </c>
    </row>
    <row r="53" spans="1:23" ht="13.5" thickBot="1">
      <c r="A53" s="6"/>
      <c r="B53" s="113"/>
      <c r="C53" s="106"/>
      <c r="D53" s="51"/>
      <c r="E53" s="23"/>
      <c r="F53" s="11"/>
      <c r="G53" s="23"/>
      <c r="H53" s="51"/>
      <c r="I53" s="23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3.5" thickBot="1">
      <c r="A54" s="80"/>
      <c r="B54" s="95" t="s">
        <v>67</v>
      </c>
      <c r="C54" s="88">
        <f aca="true" t="shared" si="18" ref="C54:K54">SUM(C39+C52)</f>
        <v>41786181.1</v>
      </c>
      <c r="D54" s="89">
        <f t="shared" si="18"/>
        <v>49790826.190000005</v>
      </c>
      <c r="E54" s="86">
        <f t="shared" si="18"/>
        <v>43790395.3</v>
      </c>
      <c r="F54" s="86">
        <f t="shared" si="18"/>
        <v>48603377.410000004</v>
      </c>
      <c r="G54" s="86">
        <f t="shared" si="18"/>
        <v>46951105</v>
      </c>
      <c r="H54" s="89">
        <f t="shared" si="18"/>
        <v>51113120.989999995</v>
      </c>
      <c r="I54" s="86">
        <f t="shared" si="18"/>
        <v>45602878</v>
      </c>
      <c r="J54" s="88">
        <f t="shared" si="18"/>
        <v>52749694.52</v>
      </c>
      <c r="K54" s="86">
        <f t="shared" si="18"/>
        <v>50819360.06</v>
      </c>
      <c r="L54" s="86">
        <f aca="true" t="shared" si="19" ref="L54:S54">L39+L52</f>
        <v>52183794.4</v>
      </c>
      <c r="M54" s="86">
        <f t="shared" si="19"/>
        <v>55394711.900000006</v>
      </c>
      <c r="N54" s="86">
        <f t="shared" si="19"/>
        <v>46496040.1</v>
      </c>
      <c r="O54" s="86">
        <f t="shared" si="19"/>
        <v>57248250.73999999</v>
      </c>
      <c r="P54" s="86">
        <f t="shared" si="19"/>
        <v>45323692.3</v>
      </c>
      <c r="Q54" s="86">
        <f t="shared" si="19"/>
        <v>54483364.87</v>
      </c>
      <c r="R54" s="86">
        <f t="shared" si="19"/>
        <v>49350464.39999999</v>
      </c>
      <c r="S54" s="86">
        <f t="shared" si="19"/>
        <v>61830099.160000004</v>
      </c>
      <c r="T54" s="86">
        <v>57645956.74</v>
      </c>
      <c r="U54" s="86">
        <f>U39+U52</f>
        <v>67446275.35</v>
      </c>
      <c r="V54" s="86">
        <f>V39+V52</f>
        <v>60385629.2</v>
      </c>
      <c r="W54" s="86">
        <f>W39+W52</f>
        <v>68779788.3</v>
      </c>
    </row>
    <row r="55" spans="1:23" ht="13.5" thickBot="1">
      <c r="A55" s="6"/>
      <c r="B55" s="114"/>
      <c r="E55" s="58"/>
      <c r="I55" s="74"/>
      <c r="P55" s="2"/>
      <c r="Q55" s="2"/>
      <c r="R55" s="2"/>
      <c r="S55" s="2"/>
      <c r="T55" s="136"/>
      <c r="U55" s="136"/>
      <c r="V55" s="136"/>
      <c r="W55" s="136"/>
    </row>
    <row r="56" spans="1:23" ht="12.75">
      <c r="A56" s="25" t="s">
        <v>54</v>
      </c>
      <c r="B56" s="116" t="s">
        <v>74</v>
      </c>
      <c r="C56" s="26"/>
      <c r="D56" s="27"/>
      <c r="E56" s="62">
        <f>1102431+15572</f>
        <v>1118003</v>
      </c>
      <c r="F56" s="59"/>
      <c r="G56" s="62">
        <f>939241+65641+10944.7</f>
        <v>1015826.7</v>
      </c>
      <c r="H56" s="71"/>
      <c r="I56" s="62">
        <f>1000227.4</f>
        <v>1000227.4</v>
      </c>
      <c r="J56" s="33"/>
      <c r="K56" s="33"/>
      <c r="L56" s="140">
        <f>5773926.7-2826.7</f>
        <v>5771100</v>
      </c>
      <c r="M56" s="69"/>
      <c r="N56" s="140">
        <f>815494</f>
        <v>815494</v>
      </c>
      <c r="O56" s="69"/>
      <c r="P56" s="140">
        <f>795189+200000</f>
        <v>995189</v>
      </c>
      <c r="Q56" s="69"/>
      <c r="R56" s="140">
        <v>795189</v>
      </c>
      <c r="S56" s="140"/>
      <c r="T56" s="140">
        <v>795189</v>
      </c>
      <c r="U56" s="140"/>
      <c r="V56" s="141">
        <v>1034661</v>
      </c>
      <c r="W56" s="141">
        <v>973632</v>
      </c>
    </row>
    <row r="57" spans="1:23" ht="12.75">
      <c r="A57" s="31">
        <v>8115</v>
      </c>
      <c r="B57" s="146" t="s">
        <v>75</v>
      </c>
      <c r="C57" s="60"/>
      <c r="D57" s="142"/>
      <c r="E57" s="63"/>
      <c r="F57" s="60"/>
      <c r="G57" s="63"/>
      <c r="H57" s="63"/>
      <c r="I57" s="63"/>
      <c r="J57" s="63"/>
      <c r="K57" s="63"/>
      <c r="L57" s="143"/>
      <c r="M57" s="144"/>
      <c r="N57" s="143">
        <v>0</v>
      </c>
      <c r="O57" s="144"/>
      <c r="P57" s="143">
        <v>0</v>
      </c>
      <c r="Q57" s="144"/>
      <c r="R57" s="143">
        <v>500000</v>
      </c>
      <c r="S57" s="143"/>
      <c r="T57" s="143">
        <v>500000</v>
      </c>
      <c r="U57" s="143"/>
      <c r="V57" s="145">
        <v>600000</v>
      </c>
      <c r="W57" s="145">
        <v>2600000</v>
      </c>
    </row>
    <row r="58" spans="1:23" ht="12.75">
      <c r="A58" s="31">
        <v>8115</v>
      </c>
      <c r="B58" s="117" t="s">
        <v>51</v>
      </c>
      <c r="C58" s="32"/>
      <c r="D58" s="32"/>
      <c r="E58" s="63"/>
      <c r="F58" s="60"/>
      <c r="G58" s="63"/>
      <c r="H58" s="72"/>
      <c r="I58" s="63">
        <v>0</v>
      </c>
      <c r="J58" s="30"/>
      <c r="K58" s="30"/>
      <c r="L58" s="125">
        <v>0</v>
      </c>
      <c r="M58" s="30"/>
      <c r="N58" s="125">
        <f>1709930.6+52650</f>
        <v>1762580.6</v>
      </c>
      <c r="O58" s="30"/>
      <c r="P58" s="125">
        <v>0</v>
      </c>
      <c r="Q58" s="30"/>
      <c r="R58" s="125">
        <v>0</v>
      </c>
      <c r="S58" s="124"/>
      <c r="T58" s="124">
        <v>0</v>
      </c>
      <c r="U58" s="124"/>
      <c r="V58" s="124">
        <v>0</v>
      </c>
      <c r="W58" s="124">
        <v>0</v>
      </c>
    </row>
    <row r="59" spans="1:23" ht="12.75">
      <c r="A59" s="31">
        <v>8115</v>
      </c>
      <c r="B59" s="117" t="s">
        <v>71</v>
      </c>
      <c r="C59" s="32"/>
      <c r="D59" s="32"/>
      <c r="E59" s="63"/>
      <c r="F59" s="60"/>
      <c r="G59" s="63"/>
      <c r="H59" s="72"/>
      <c r="I59" s="63">
        <v>13308.6</v>
      </c>
      <c r="J59" s="30"/>
      <c r="K59" s="30"/>
      <c r="L59" s="125">
        <v>2826.7</v>
      </c>
      <c r="M59" s="30"/>
      <c r="N59" s="125">
        <v>3055.5</v>
      </c>
      <c r="O59" s="30" t="s">
        <v>55</v>
      </c>
      <c r="P59" s="125">
        <v>7400</v>
      </c>
      <c r="Q59" s="30"/>
      <c r="R59" s="125">
        <v>4852.7</v>
      </c>
      <c r="S59" s="124"/>
      <c r="T59" s="124">
        <v>10075.3</v>
      </c>
      <c r="U59" s="124"/>
      <c r="V59" s="124">
        <v>10075.3</v>
      </c>
      <c r="W59" s="124">
        <v>12875.3</v>
      </c>
    </row>
    <row r="60" spans="1:23" ht="12.75">
      <c r="A60" s="31" t="s">
        <v>50</v>
      </c>
      <c r="B60" s="117" t="s">
        <v>62</v>
      </c>
      <c r="C60" s="32"/>
      <c r="D60" s="32"/>
      <c r="E60" s="63">
        <v>29433589.9</v>
      </c>
      <c r="F60" s="60"/>
      <c r="G60" s="63">
        <v>31145183.4</v>
      </c>
      <c r="H60" s="72"/>
      <c r="I60" s="63">
        <v>28053405</v>
      </c>
      <c r="J60" s="30"/>
      <c r="K60" s="30"/>
      <c r="L60" s="125">
        <v>35143761</v>
      </c>
      <c r="M60" s="30"/>
      <c r="N60" s="125">
        <f>33708232.5+15865.8-624</f>
        <v>33723474.3</v>
      </c>
      <c r="O60" s="30"/>
      <c r="P60" s="125">
        <v>35039529.1</v>
      </c>
      <c r="Q60" s="30"/>
      <c r="R60" s="125">
        <v>37973595.4</v>
      </c>
      <c r="S60" s="124"/>
      <c r="T60" s="124">
        <v>40949814.1</v>
      </c>
      <c r="U60" s="124"/>
      <c r="V60" s="124">
        <f>41068253.8+188353.9</f>
        <v>41256607.699999996</v>
      </c>
      <c r="W60" s="124">
        <v>44527139.6</v>
      </c>
    </row>
    <row r="61" spans="1:24" ht="12.75">
      <c r="A61" s="31">
        <v>5347</v>
      </c>
      <c r="B61" s="117" t="s">
        <v>63</v>
      </c>
      <c r="C61" s="32"/>
      <c r="D61" s="32"/>
      <c r="E61" s="63"/>
      <c r="F61" s="60"/>
      <c r="G61" s="63"/>
      <c r="H61" s="72"/>
      <c r="I61" s="63"/>
      <c r="J61" s="30"/>
      <c r="K61" s="30"/>
      <c r="L61" s="125">
        <v>0</v>
      </c>
      <c r="M61" s="30"/>
      <c r="N61" s="125">
        <v>0</v>
      </c>
      <c r="O61" s="30"/>
      <c r="P61" s="125">
        <v>0</v>
      </c>
      <c r="Q61" s="30"/>
      <c r="R61" s="125">
        <v>0</v>
      </c>
      <c r="S61" s="124"/>
      <c r="T61" s="124">
        <v>4233374.2</v>
      </c>
      <c r="U61" s="124"/>
      <c r="V61" s="130">
        <v>4774112.7</v>
      </c>
      <c r="W61" s="124">
        <v>5015271</v>
      </c>
      <c r="X61" s="127"/>
    </row>
    <row r="62" spans="1:24" ht="12.75">
      <c r="A62" s="31" t="s">
        <v>49</v>
      </c>
      <c r="B62" s="117" t="s">
        <v>56</v>
      </c>
      <c r="C62" s="32"/>
      <c r="D62" s="32"/>
      <c r="E62" s="63">
        <v>13254559.1</v>
      </c>
      <c r="F62" s="60"/>
      <c r="G62" s="63">
        <v>14790617.6</v>
      </c>
      <c r="H62" s="72"/>
      <c r="I62" s="63">
        <f>15554147+522.7+75180+282060+611550+13000</f>
        <v>16536459.7</v>
      </c>
      <c r="J62" s="30"/>
      <c r="K62" s="30"/>
      <c r="L62" s="125">
        <v>11266106.7</v>
      </c>
      <c r="M62" s="30"/>
      <c r="N62" s="125">
        <f>10190811.7+624</f>
        <v>10191435.7</v>
      </c>
      <c r="O62" s="30"/>
      <c r="P62" s="125">
        <v>9281574.2</v>
      </c>
      <c r="Q62" s="30"/>
      <c r="R62" s="125">
        <v>10076827.3</v>
      </c>
      <c r="S62" s="124"/>
      <c r="T62" s="124">
        <v>11157504.14</v>
      </c>
      <c r="U62" s="124"/>
      <c r="V62" s="129">
        <f>8070729.8+4639442.7</f>
        <v>12710172.5</v>
      </c>
      <c r="W62" s="124">
        <v>15650870.4</v>
      </c>
      <c r="X62" s="138"/>
    </row>
    <row r="63" spans="1:23" ht="13.5" thickBot="1">
      <c r="A63" s="28"/>
      <c r="B63" s="118" t="s">
        <v>37</v>
      </c>
      <c r="C63" s="29"/>
      <c r="D63" s="29"/>
      <c r="E63" s="64">
        <f>E54-E56-E60-E62</f>
        <v>-15756.700000001118</v>
      </c>
      <c r="F63" s="61"/>
      <c r="G63" s="64">
        <f>G54-G56-G60-G62</f>
        <v>-522.7000000011176</v>
      </c>
      <c r="H63" s="73"/>
      <c r="I63" s="115">
        <f>I54-I56-I58-I59-I60-I62</f>
        <v>-522.6999999992549</v>
      </c>
      <c r="J63" s="115"/>
      <c r="K63" s="115"/>
      <c r="L63" s="126">
        <f>L54-L56-L58-L59-L60-L61-L62</f>
        <v>0</v>
      </c>
      <c r="M63" s="115"/>
      <c r="N63" s="126">
        <f>N54-N56-N57-N58-N59-N60-N61-N62</f>
        <v>0</v>
      </c>
      <c r="O63" s="115"/>
      <c r="P63" s="126">
        <f>P54-P56-P57-P58-P59-P60-P61-P62</f>
        <v>0</v>
      </c>
      <c r="Q63" s="115"/>
      <c r="R63" s="126">
        <f>R54-R56-R57-R58-R59-R60-R61-R62</f>
        <v>0</v>
      </c>
      <c r="S63" s="126"/>
      <c r="T63" s="126">
        <f>T54-T56-T57-T58-T59-T60-T61-T62</f>
        <v>0</v>
      </c>
      <c r="U63" s="126"/>
      <c r="V63" s="126">
        <f>V54-V56-V57-V58-V59-V60-V61-V62</f>
        <v>0</v>
      </c>
      <c r="W63" s="131">
        <f>W54-W56-W57-W58-W59-W60-W61-W62</f>
        <v>0</v>
      </c>
    </row>
    <row r="64" spans="1:15" ht="12.75">
      <c r="A64" s="75" t="s">
        <v>69</v>
      </c>
      <c r="B64" s="75"/>
      <c r="C64" s="76"/>
      <c r="D64" s="76"/>
      <c r="E64" s="76"/>
      <c r="F64" s="76"/>
      <c r="G64" s="77"/>
      <c r="H64" s="77"/>
      <c r="I64" s="77"/>
      <c r="J64" s="77"/>
      <c r="K64" s="77"/>
      <c r="L64" s="77"/>
      <c r="M64" s="77"/>
      <c r="N64" s="77"/>
      <c r="O64" s="77"/>
    </row>
    <row r="65" spans="1:22" ht="12.75">
      <c r="A65" s="91"/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0"/>
      <c r="M65" s="90"/>
      <c r="N65" s="119"/>
      <c r="O65" s="119"/>
      <c r="V65" s="127"/>
    </row>
    <row r="66" spans="1:22" ht="12.75">
      <c r="A66" s="91"/>
      <c r="B66" s="91"/>
      <c r="C66" s="92"/>
      <c r="D66" s="92"/>
      <c r="E66" s="92"/>
      <c r="F66" s="92"/>
      <c r="G66" s="93"/>
      <c r="H66" s="93"/>
      <c r="I66" s="93"/>
      <c r="J66" s="93"/>
      <c r="K66" s="93"/>
      <c r="L66" s="93"/>
      <c r="M66" s="93"/>
      <c r="N66" s="93"/>
      <c r="O66" s="93"/>
      <c r="V66" s="128"/>
    </row>
    <row r="67" spans="1:15" ht="12.75">
      <c r="A67" s="91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74" spans="2:6" ht="12.75">
      <c r="B74" s="40"/>
      <c r="C74" s="41"/>
      <c r="D74" s="41"/>
      <c r="E74" s="41"/>
      <c r="F74" s="42"/>
    </row>
  </sheetData>
  <sheetProtection/>
  <mergeCells count="3">
    <mergeCell ref="A3:K3"/>
    <mergeCell ref="A4:A5"/>
    <mergeCell ref="B4:B5"/>
  </mergeCells>
  <printOptions horizontalCentered="1" verticalCentered="1"/>
  <pageMargins left="0.31496062992125984" right="0.11811023622047245" top="0.1968503937007874" bottom="0.1968503937007874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Paneš Patrik (MHMP)</cp:lastModifiedBy>
  <cp:lastPrinted>2016-11-01T14:30:59Z</cp:lastPrinted>
  <dcterms:created xsi:type="dcterms:W3CDTF">2003-08-21T12:59:42Z</dcterms:created>
  <dcterms:modified xsi:type="dcterms:W3CDTF">2016-11-25T14:34:16Z</dcterms:modified>
  <cp:category/>
  <cp:version/>
  <cp:contentType/>
  <cp:contentStatus/>
</cp:coreProperties>
</file>