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tabRatio="601" activeTab="0"/>
  </bookViews>
  <sheets>
    <sheet name="fin.zdroje" sheetId="1" r:id="rId1"/>
  </sheets>
  <definedNames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<sst xmlns="http://schemas.openxmlformats.org/spreadsheetml/2006/main" count="103" uniqueCount="83">
  <si>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</si>
  <si>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</si>
  <si>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</si>
  <si>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</si>
  <si>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</si>
  <si>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</si>
  <si>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</si>
  <si>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</si>
  <si>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</si>
  <si>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</si>
  <si>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</si>
  <si>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</si>
  <si>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</si>
  <si>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</si>
  <si>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</si>
  <si>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</si>
  <si>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</si>
  <si>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</si>
  <si>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</si>
  <si>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</si>
  <si>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</si>
  <si>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</si>
  <si>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</si>
  <si>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</si>
  <si>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</si>
  <si>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</si>
  <si>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</si>
  <si>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</si>
  <si>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</si>
  <si>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</si>
  <si>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</si>
  <si>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</si>
  <si>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</si>
  <si>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</si>
  <si>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F I N A N C O V Á N Í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</si>
  <si>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</si>
  <si>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</si>
  <si>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</si>
  <si>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</si>
  <si>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</si>
  <si>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</si>
  <si>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</si>
  <si>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</si>
  <si>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</si>
  <si>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</si>
  <si>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</si>
  <si>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</si>
  <si>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</si>
  <si>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</si>
  <si>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</si>
  <si>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</si>
  <si>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Rezerva na kapitálové výdaje - tř. 8</t>
  </si>
  <si>
    <t>135X</t>
  </si>
  <si>
    <t>Ostatní odvody z vybraných činností a služeb</t>
  </si>
  <si>
    <t>8XXX</t>
  </si>
  <si>
    <t xml:space="preserve">          </t>
  </si>
  <si>
    <t>Návrh rozpočtu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</si>
  <si>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</si>
  <si>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</si>
  <si>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</si>
  <si>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</si>
  <si>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</si>
  <si>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</si>
  <si>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</si>
  <si>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Převody mezi HMP a MČ - souhrn. vztah</t>
  </si>
  <si>
    <t>R O Z P O Č T O V É   P Ř Í J M Y</t>
  </si>
  <si>
    <t>Ú H R N   P Ř Í J M Ů  (třídy 1+2+3+4)</t>
  </si>
  <si>
    <t>Ú H R N   F I N A N C O V Á N Í</t>
  </si>
  <si>
    <t>F I N A N Č N Í   Z D R O J E   C E L K E M</t>
  </si>
  <si>
    <t>Převody mezi HMP a MČ - příjmy</t>
  </si>
  <si>
    <t>Pozn. Skutečnost váže k vybraným ukazatelům schváleného rozpočtu.</t>
  </si>
  <si>
    <t>tranše z úvěru od EIB</t>
  </si>
  <si>
    <t>Rezerva vytvořená ze splátek od MČ - tř. 8</t>
  </si>
  <si>
    <t xml:space="preserve">                                             </t>
  </si>
  <si>
    <t>zapojení dočasně volných zdrojů do RS</t>
  </si>
  <si>
    <t>Dluhová služba - tř. 8</t>
  </si>
  <si>
    <t>Rezerva na dluhovou službu - tř. 8</t>
  </si>
  <si>
    <t>Návrh finančních zdrojů rozpočtu vlastního hl. m. Prahy na rok 2018 (v tis. Kč)</t>
  </si>
  <si>
    <t>138X</t>
  </si>
  <si>
    <t>Daně , popl.a jiná peněžitá plnění v oblasti hazardních her</t>
  </si>
  <si>
    <t>Rezerva Fondu rozvoje dostupného bydlení na území HMP</t>
  </si>
  <si>
    <t>převod z Fondu rozvoje dostupného bydlení na území HMP</t>
  </si>
  <si>
    <t>Příloha č. 2 k usnesení Zastupitelstva HMP č. 31/1 ze dne 30. 11.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</si>
</sst>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0_ ;\-#,##0.000\ "/>
    <numFmt numFmtId="173" formatCode="#,##0.0000_ ;\-#,##0.0000\ "/>
    <numFmt numFmtId="174" formatCode="#,##0.00000_ ;\-#,##0.00000\ "/>
    <numFmt numFmtId="175" formatCode="#,##0.000000_ ;\-#,##0.000000\ "/>
    <numFmt numFmtId="176" formatCode="#,##0.0000000_ ;\-#,##0.0000000\ "/>
    <numFmt numFmtId="177" formatCode="#,##0.00000000_ ;\-#,##0.00000000\ "/>
    <numFmt numFmtId="178" formatCode="#,##0.000000000_ ;\-#,##0.000000000\ "/>
    <numFmt numFmtId="179" formatCode="#,##0.0000000000_ ;\-#,##0.0000000000\ "/>
    <numFmt numFmtId="180" formatCode="#,##0.00000000000_ ;\-#,##0.00000000000\ "/>
    <numFmt numFmtId="181" formatCode="#,##0.000000000000_ ;\-#,##0.000000000000\ "/>
    <numFmt numFmtId="182" formatCode="#,##0.0000000000000_ ;\-#,##0.0000000000000\ "/>
    <numFmt numFmtId="183" formatCode="#,##0.00000000000000_ ;\-#,##0.00000000000000\ "/>
    <numFmt numFmtId="184" formatCode="#,##0.000000000000000_ ;\-#,##0.000000000000000\ "/>
    <numFmt numFmtId="185" formatCode="#,##0.0_ ;\-#,##0.0\ "/>
    <numFmt numFmtId="186" formatCode="#,##0_ ;\-#,##0\ "/>
  </numFmts>
  <fonts count="5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4" fontId="1" fillId="32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1" fillId="0" borderId="35" xfId="0" applyNumberFormat="1" applyFont="1" applyBorder="1" applyAlignment="1">
      <alignment horizontal="right"/>
    </xf>
    <xf numFmtId="164" fontId="1" fillId="32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37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2" borderId="22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164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3" fillId="33" borderId="3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right" vertical="center"/>
    </xf>
    <xf numFmtId="164" fontId="2" fillId="33" borderId="36" xfId="0" applyNumberFormat="1" applyFont="1" applyFill="1" applyBorder="1" applyAlignment="1">
      <alignment horizontal="right" vertical="center"/>
    </xf>
    <xf numFmtId="164" fontId="2" fillId="33" borderId="18" xfId="0" applyNumberFormat="1" applyFont="1" applyFill="1" applyBorder="1" applyAlignment="1">
      <alignment horizontal="right" vertical="center"/>
    </xf>
    <xf numFmtId="164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4" fontId="1" fillId="0" borderId="41" xfId="0" applyNumberFormat="1" applyFont="1" applyFill="1" applyBorder="1" applyAlignment="1">
      <alignment horizontal="left" vertical="center"/>
    </xf>
    <xf numFmtId="164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4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4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3" fillId="0" borderId="16" xfId="0" applyNumberFormat="1" applyFont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164" fontId="13" fillId="0" borderId="46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13" fillId="0" borderId="20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164" fontId="13" fillId="0" borderId="38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164" fontId="2" fillId="0" borderId="18" xfId="0" applyNumberFormat="1" applyFont="1" applyBorder="1" applyAlignment="1">
      <alignment horizontal="right" vertical="center"/>
    </xf>
    <xf numFmtId="14" fontId="50" fillId="0" borderId="0" xfId="0" applyNumberFormat="1" applyFont="1" applyAlignment="1">
      <alignment/>
    </xf>
    <xf numFmtId="0" fontId="3" fillId="33" borderId="14" xfId="0" applyFont="1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1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1" ySplit="6" topLeftCell="S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S1" sqref="S1"/>
    </sheetView>
  </sheetViews>
  <sheetFormatPr defaultColWidth="9.00390625" defaultRowHeight="12.75"/>
  <cols>
    <col min="1" max="1" width="7.875" style="1" customWidth="1"/>
    <col min="2" max="2" width="57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0.12890625" style="2" hidden="1" customWidth="1"/>
    <col min="13" max="13" width="13.375" style="2" hidden="1" customWidth="1"/>
    <col min="14" max="15" width="13.375" style="2" customWidth="1"/>
    <col min="16" max="16" width="13.375" style="0" bestFit="1" customWidth="1"/>
    <col min="17" max="23" width="13.375" style="0" customWidth="1"/>
    <col min="24" max="24" width="13.125" style="0" customWidth="1"/>
    <col min="25" max="25" width="14.625" style="0" customWidth="1"/>
  </cols>
  <sheetData>
    <row r="1" spans="1:25" s="121" customFormat="1" ht="15.75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Y1" s="145"/>
    </row>
    <row r="2" spans="1:16" ht="19.5" thickBot="1">
      <c r="A2" s="12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4"/>
    </row>
    <row r="3" spans="1:25" ht="16.5" thickBot="1">
      <c r="A3" s="146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9"/>
      <c r="X3" s="79"/>
      <c r="Y3" s="79"/>
    </row>
    <row r="4" spans="1:25" ht="13.5" customHeight="1">
      <c r="A4" s="148" t="s">
        <v>0</v>
      </c>
      <c r="B4" s="150" t="s">
        <v>1</v>
      </c>
      <c r="C4" s="18" t="s">
        <v>35</v>
      </c>
      <c r="D4" s="43" t="s">
        <v>36</v>
      </c>
      <c r="E4" s="18" t="s">
        <v>35</v>
      </c>
      <c r="F4" s="3" t="s">
        <v>39</v>
      </c>
      <c r="G4" s="18" t="s">
        <v>40</v>
      </c>
      <c r="H4" s="43" t="s">
        <v>39</v>
      </c>
      <c r="I4" s="18" t="s">
        <v>40</v>
      </c>
      <c r="J4" s="3" t="s">
        <v>39</v>
      </c>
      <c r="K4" s="3" t="s">
        <v>39</v>
      </c>
      <c r="L4" s="65" t="s">
        <v>40</v>
      </c>
      <c r="M4" s="65" t="s">
        <v>39</v>
      </c>
      <c r="N4" s="65" t="s">
        <v>40</v>
      </c>
      <c r="O4" s="65" t="s">
        <v>39</v>
      </c>
      <c r="P4" s="65" t="s">
        <v>40</v>
      </c>
      <c r="Q4" s="65" t="s">
        <v>39</v>
      </c>
      <c r="R4" s="65" t="s">
        <v>40</v>
      </c>
      <c r="S4" s="65" t="s">
        <v>39</v>
      </c>
      <c r="T4" s="65" t="s">
        <v>40</v>
      </c>
      <c r="U4" s="65" t="s">
        <v>39</v>
      </c>
      <c r="V4" s="135" t="s">
        <v>40</v>
      </c>
      <c r="W4" s="135" t="s">
        <v>39</v>
      </c>
      <c r="X4" s="135" t="s">
        <v>40</v>
      </c>
      <c r="Y4" s="135" t="s">
        <v>56</v>
      </c>
    </row>
    <row r="5" spans="1:25" ht="13.5" thickBot="1">
      <c r="A5" s="149"/>
      <c r="B5" s="151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2015</v>
      </c>
      <c r="V5" s="4">
        <v>2016</v>
      </c>
      <c r="W5" s="4">
        <v>2016</v>
      </c>
      <c r="X5" s="4">
        <v>2017</v>
      </c>
      <c r="Y5" s="4">
        <v>2018</v>
      </c>
    </row>
    <row r="6" spans="1:25" ht="13.5" thickBot="1">
      <c r="A6" s="80"/>
      <c r="B6" s="95" t="s">
        <v>65</v>
      </c>
      <c r="C6" s="81"/>
      <c r="D6" s="82"/>
      <c r="E6" s="81"/>
      <c r="F6" s="83"/>
      <c r="G6" s="81"/>
      <c r="H6" s="82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2.75">
      <c r="A7" s="5" t="s">
        <v>2</v>
      </c>
      <c r="B7" s="96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421265.21</v>
      </c>
      <c r="V7" s="10">
        <v>400000</v>
      </c>
      <c r="W7" s="10">
        <v>480587.91</v>
      </c>
      <c r="X7" s="10">
        <v>446000</v>
      </c>
      <c r="Y7" s="10">
        <v>490000</v>
      </c>
    </row>
    <row r="8" spans="1:25" ht="12.75">
      <c r="A8" s="5" t="s">
        <v>2</v>
      </c>
      <c r="B8" s="96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6">
        <v>10913357.95</v>
      </c>
      <c r="V8" s="10">
        <v>10300000</v>
      </c>
      <c r="W8" s="10">
        <v>12800972.38</v>
      </c>
      <c r="X8" s="10">
        <v>11670000</v>
      </c>
      <c r="Y8" s="10">
        <v>12720000</v>
      </c>
    </row>
    <row r="9" spans="1:25" ht="13.5">
      <c r="A9" s="5"/>
      <c r="B9" s="97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20">
        <f t="shared" si="0"/>
        <v>10440000</v>
      </c>
      <c r="Q9" s="120">
        <f aca="true" t="shared" si="1" ref="Q9:X9">SUM(Q7:Q8)</f>
        <v>10136890.47</v>
      </c>
      <c r="R9" s="120">
        <f t="shared" si="1"/>
        <v>9900000</v>
      </c>
      <c r="S9" s="120">
        <f t="shared" si="1"/>
        <v>10948796.87</v>
      </c>
      <c r="T9" s="120">
        <f t="shared" si="1"/>
        <v>10430000</v>
      </c>
      <c r="U9" s="120">
        <f t="shared" si="1"/>
        <v>11334623.16</v>
      </c>
      <c r="V9" s="120">
        <f t="shared" si="1"/>
        <v>10700000</v>
      </c>
      <c r="W9" s="120">
        <f>SUM(W7:W8)</f>
        <v>13281560.290000001</v>
      </c>
      <c r="X9" s="120">
        <f t="shared" si="1"/>
        <v>12116000</v>
      </c>
      <c r="Y9" s="120">
        <v>13210000</v>
      </c>
    </row>
    <row r="10" spans="1:25" ht="12.75">
      <c r="A10" s="5" t="s">
        <v>6</v>
      </c>
      <c r="B10" s="96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7">
        <v>415668.58</v>
      </c>
      <c r="V10" s="10">
        <v>390000</v>
      </c>
      <c r="W10" s="10">
        <v>471907.17</v>
      </c>
      <c r="X10" s="10">
        <v>450000</v>
      </c>
      <c r="Y10" s="10">
        <v>470000</v>
      </c>
    </row>
    <row r="11" spans="1:25" ht="12.75">
      <c r="A11" s="5" t="s">
        <v>6</v>
      </c>
      <c r="B11" s="96" t="s">
        <v>44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7">
        <v>11461969.22</v>
      </c>
      <c r="V11" s="10">
        <v>9700000</v>
      </c>
      <c r="W11" s="10">
        <v>12390460</v>
      </c>
      <c r="X11" s="10">
        <v>10300000</v>
      </c>
      <c r="Y11" s="10">
        <v>11300000</v>
      </c>
    </row>
    <row r="12" spans="1:25" ht="13.5">
      <c r="A12" s="5"/>
      <c r="B12" s="97" t="s">
        <v>8</v>
      </c>
      <c r="C12" s="34">
        <f aca="true" t="shared" si="2" ref="C12:N12">SUM(C10:C11)</f>
        <v>7840000</v>
      </c>
      <c r="D12" s="47">
        <f t="shared" si="2"/>
        <v>10203249.98</v>
      </c>
      <c r="E12" s="34">
        <f t="shared" si="2"/>
        <v>8100000</v>
      </c>
      <c r="F12" s="35">
        <f t="shared" si="2"/>
        <v>10362989.26</v>
      </c>
      <c r="G12" s="66">
        <f t="shared" si="2"/>
        <v>10420000</v>
      </c>
      <c r="H12" s="70">
        <f t="shared" si="2"/>
        <v>12189658.040000001</v>
      </c>
      <c r="I12" s="66">
        <f t="shared" si="2"/>
        <v>10970000</v>
      </c>
      <c r="J12" s="35">
        <f t="shared" si="2"/>
        <v>13935213.88</v>
      </c>
      <c r="K12" s="35">
        <f t="shared" si="2"/>
        <v>9996279.24</v>
      </c>
      <c r="L12" s="35">
        <f t="shared" si="2"/>
        <v>8640000</v>
      </c>
      <c r="M12" s="35">
        <f t="shared" si="2"/>
        <v>9296393.32</v>
      </c>
      <c r="N12" s="35">
        <f t="shared" si="2"/>
        <v>8480000</v>
      </c>
      <c r="O12" s="35">
        <f aca="true" t="shared" si="3" ref="O12:V12">SUM(O10:O11)</f>
        <v>10154566.520000001</v>
      </c>
      <c r="P12" s="120">
        <f t="shared" si="3"/>
        <v>8570000</v>
      </c>
      <c r="Q12" s="120">
        <f t="shared" si="3"/>
        <v>10487014.5</v>
      </c>
      <c r="R12" s="120">
        <f t="shared" si="3"/>
        <v>8500000</v>
      </c>
      <c r="S12" s="120">
        <f>SUM(S10:S11)</f>
        <v>11029668.1</v>
      </c>
      <c r="T12" s="120">
        <f t="shared" si="3"/>
        <v>9060000</v>
      </c>
      <c r="U12" s="120">
        <f>SUM(U10:U11)</f>
        <v>11877637.8</v>
      </c>
      <c r="V12" s="120">
        <f t="shared" si="3"/>
        <v>10090000</v>
      </c>
      <c r="W12" s="120">
        <f>SUM(W10:W11)</f>
        <v>12862367.17</v>
      </c>
      <c r="X12" s="120">
        <f>SUM(X10:X11)</f>
        <v>10750000</v>
      </c>
      <c r="Y12" s="120">
        <v>11770000</v>
      </c>
    </row>
    <row r="13" spans="1:25" ht="12.75">
      <c r="A13" s="5">
        <v>1211</v>
      </c>
      <c r="B13" s="96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7">
        <v>826989.3</v>
      </c>
      <c r="V13" s="10">
        <v>800000</v>
      </c>
      <c r="W13" s="10">
        <v>969778.57</v>
      </c>
      <c r="X13" s="10">
        <v>914000</v>
      </c>
      <c r="Y13" s="10">
        <v>950000</v>
      </c>
    </row>
    <row r="14" spans="1:25" ht="12.75">
      <c r="A14" s="5">
        <v>1211</v>
      </c>
      <c r="B14" s="96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7">
        <v>19527316.75</v>
      </c>
      <c r="V14" s="10">
        <v>19007667</v>
      </c>
      <c r="W14" s="10">
        <v>20463902.21</v>
      </c>
      <c r="X14" s="10">
        <v>20500000</v>
      </c>
      <c r="Y14" s="10">
        <v>26000000</v>
      </c>
    </row>
    <row r="15" spans="1:25" ht="13.5">
      <c r="A15" s="5"/>
      <c r="B15" s="97" t="s">
        <v>11</v>
      </c>
      <c r="C15" s="34">
        <f aca="true" t="shared" si="4" ref="C15:N15">SUM(C13:C14)</f>
        <v>11807567</v>
      </c>
      <c r="D15" s="47">
        <f t="shared" si="4"/>
        <v>14160525.63</v>
      </c>
      <c r="E15" s="34">
        <f t="shared" si="4"/>
        <v>14095101</v>
      </c>
      <c r="F15" s="35">
        <f t="shared" si="4"/>
        <v>15140121.75</v>
      </c>
      <c r="G15" s="66">
        <f t="shared" si="4"/>
        <v>15920000</v>
      </c>
      <c r="H15" s="70">
        <f t="shared" si="4"/>
        <v>16070676.38</v>
      </c>
      <c r="I15" s="66">
        <f t="shared" si="4"/>
        <v>16255608</v>
      </c>
      <c r="J15" s="35">
        <f t="shared" si="4"/>
        <v>17796791.48</v>
      </c>
      <c r="K15" s="35">
        <f t="shared" si="4"/>
        <v>17722321.02</v>
      </c>
      <c r="L15" s="35">
        <f t="shared" si="4"/>
        <v>19370000</v>
      </c>
      <c r="M15" s="35">
        <f t="shared" si="4"/>
        <v>19474838.400000002</v>
      </c>
      <c r="N15" s="35">
        <f t="shared" si="4"/>
        <v>19800000</v>
      </c>
      <c r="O15" s="35">
        <f aca="true" t="shared" si="5" ref="O15:V15">SUM(O13:O14)</f>
        <v>18290544.09</v>
      </c>
      <c r="P15" s="120">
        <f t="shared" si="5"/>
        <v>16890000</v>
      </c>
      <c r="Q15" s="120">
        <f t="shared" si="5"/>
        <v>18837427.84</v>
      </c>
      <c r="R15" s="120">
        <f t="shared" si="5"/>
        <v>18240000</v>
      </c>
      <c r="S15" s="120">
        <f>SUM(S13:S14)</f>
        <v>19788620.04</v>
      </c>
      <c r="T15" s="120">
        <f t="shared" si="5"/>
        <v>19270000</v>
      </c>
      <c r="U15" s="120">
        <f>SUM(U13:U14)</f>
        <v>20354306.05</v>
      </c>
      <c r="V15" s="120">
        <f t="shared" si="5"/>
        <v>19807667</v>
      </c>
      <c r="W15" s="120">
        <f>SUM(W13:W14)</f>
        <v>21433680.78</v>
      </c>
      <c r="X15" s="120">
        <f>SUM(X13:X14)</f>
        <v>21414000</v>
      </c>
      <c r="Y15" s="120">
        <v>26950000</v>
      </c>
    </row>
    <row r="16" spans="1:25" ht="12.75">
      <c r="A16" s="5" t="s">
        <v>12</v>
      </c>
      <c r="B16" s="96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7">
        <v>714265.37</v>
      </c>
      <c r="V16" s="10">
        <v>690000</v>
      </c>
      <c r="W16" s="10">
        <v>714867.45</v>
      </c>
      <c r="X16" s="10">
        <v>690000</v>
      </c>
      <c r="Y16" s="10">
        <v>690000</v>
      </c>
    </row>
    <row r="17" spans="1:25" ht="12.75">
      <c r="A17" s="5" t="s">
        <v>14</v>
      </c>
      <c r="B17" s="96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7">
        <v>240722.33</v>
      </c>
      <c r="V17" s="10">
        <v>216000</v>
      </c>
      <c r="W17" s="10">
        <v>247402.78</v>
      </c>
      <c r="X17" s="10">
        <v>220000</v>
      </c>
      <c r="Y17" s="10">
        <v>230000</v>
      </c>
    </row>
    <row r="18" spans="1:25" ht="12.75">
      <c r="A18" s="5" t="s">
        <v>52</v>
      </c>
      <c r="B18" s="96" t="s">
        <v>53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7">
        <v>882539.46</v>
      </c>
      <c r="V18" s="10">
        <v>640000</v>
      </c>
      <c r="W18" s="10">
        <v>936754.11</v>
      </c>
      <c r="X18" s="10">
        <v>0</v>
      </c>
      <c r="Y18" s="10">
        <v>0</v>
      </c>
    </row>
    <row r="19" spans="1:25" ht="12.75">
      <c r="A19" s="5" t="s">
        <v>16</v>
      </c>
      <c r="B19" s="96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7">
        <v>318478.48</v>
      </c>
      <c r="V19" s="10">
        <v>250000</v>
      </c>
      <c r="W19" s="10">
        <v>360474.24</v>
      </c>
      <c r="X19" s="10">
        <v>300000</v>
      </c>
      <c r="Y19" s="10">
        <v>300000</v>
      </c>
    </row>
    <row r="20" spans="1:25" ht="13.5" thickBot="1">
      <c r="A20" s="5" t="s">
        <v>78</v>
      </c>
      <c r="B20" s="96" t="s">
        <v>79</v>
      </c>
      <c r="C20" s="20"/>
      <c r="D20" s="45"/>
      <c r="E20" s="20"/>
      <c r="F20" s="10"/>
      <c r="G20" s="20"/>
      <c r="H20" s="45"/>
      <c r="I20" s="20"/>
      <c r="J20" s="10"/>
      <c r="K20" s="10"/>
      <c r="L20" s="10"/>
      <c r="M20" s="10"/>
      <c r="N20" s="10">
        <v>0</v>
      </c>
      <c r="O20" s="10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0">
        <v>0</v>
      </c>
      <c r="W20" s="10">
        <v>0</v>
      </c>
      <c r="X20" s="10">
        <v>640000</v>
      </c>
      <c r="Y20" s="10">
        <v>500000</v>
      </c>
    </row>
    <row r="21" spans="1:25" ht="13.5" thickBot="1">
      <c r="A21" s="7"/>
      <c r="B21" s="98" t="s">
        <v>18</v>
      </c>
      <c r="C21" s="36">
        <f aca="true" t="shared" si="6" ref="C21:K21">SUM(C16:C20,C15,C12,C9)</f>
        <v>30515037</v>
      </c>
      <c r="D21" s="48">
        <f t="shared" si="6"/>
        <v>36683321.56</v>
      </c>
      <c r="E21" s="36">
        <f t="shared" si="6"/>
        <v>33731101</v>
      </c>
      <c r="F21" s="37">
        <f t="shared" si="6"/>
        <v>37224192.09</v>
      </c>
      <c r="G21" s="36">
        <f t="shared" si="6"/>
        <v>37759000</v>
      </c>
      <c r="H21" s="48">
        <f t="shared" si="6"/>
        <v>41106484.33</v>
      </c>
      <c r="I21" s="36">
        <f t="shared" si="6"/>
        <v>39111608</v>
      </c>
      <c r="J21" s="37">
        <f t="shared" si="6"/>
        <v>44141684.18</v>
      </c>
      <c r="K21" s="37">
        <f t="shared" si="6"/>
        <v>38157825.31</v>
      </c>
      <c r="L21" s="94">
        <f aca="true" t="shared" si="7" ref="L21:S21">L9+L12+L15+L16+L17+L18+L20</f>
        <v>38958000</v>
      </c>
      <c r="M21" s="94">
        <f t="shared" si="7"/>
        <v>39766733.21</v>
      </c>
      <c r="N21" s="94">
        <v>39158000</v>
      </c>
      <c r="O21" s="94">
        <f t="shared" si="7"/>
        <v>40413980.779999994</v>
      </c>
      <c r="P21" s="94">
        <v>37845865</v>
      </c>
      <c r="Q21" s="94">
        <f t="shared" si="7"/>
        <v>41260952.18</v>
      </c>
      <c r="R21" s="94">
        <v>38321000</v>
      </c>
      <c r="S21" s="94">
        <f t="shared" si="7"/>
        <v>43616033.96</v>
      </c>
      <c r="T21" s="94">
        <v>40410000</v>
      </c>
      <c r="U21" s="94">
        <f>U9+U12+U15+U16+U17+U18+U20</f>
        <v>45404094.17</v>
      </c>
      <c r="V21" s="94">
        <v>42393667</v>
      </c>
      <c r="W21" s="94">
        <f>W9+W12+W15+W16+W17+W18+W20</f>
        <v>49476632.580000006</v>
      </c>
      <c r="X21" s="94">
        <f>X9+X12+X15+X16+X17+X19+X20</f>
        <v>46130000</v>
      </c>
      <c r="Y21" s="94">
        <v>53650000</v>
      </c>
    </row>
    <row r="22" spans="1:25" ht="12.75">
      <c r="A22" s="8"/>
      <c r="B22" s="99"/>
      <c r="C22" s="22"/>
      <c r="D22" s="45"/>
      <c r="E22" s="20"/>
      <c r="F22" s="10"/>
      <c r="G22" s="20"/>
      <c r="H22" s="45"/>
      <c r="I22" s="2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5" t="s">
        <v>19</v>
      </c>
      <c r="B23" s="96" t="s">
        <v>20</v>
      </c>
      <c r="C23" s="20">
        <v>5000</v>
      </c>
      <c r="D23" s="45">
        <v>87157.87</v>
      </c>
      <c r="E23" s="20">
        <v>5000</v>
      </c>
      <c r="F23" s="10">
        <v>107620.79</v>
      </c>
      <c r="G23" s="20">
        <v>37086</v>
      </c>
      <c r="H23" s="45">
        <v>106835.32</v>
      </c>
      <c r="I23" s="20">
        <v>5400</v>
      </c>
      <c r="J23" s="10">
        <v>127812.96</v>
      </c>
      <c r="K23" s="10">
        <v>141027.43</v>
      </c>
      <c r="L23" s="10">
        <f>5000+400</f>
        <v>5400</v>
      </c>
      <c r="M23" s="10">
        <v>133041.83</v>
      </c>
      <c r="N23" s="10">
        <v>5350</v>
      </c>
      <c r="O23" s="10">
        <v>194665.3</v>
      </c>
      <c r="P23" s="10">
        <v>5700</v>
      </c>
      <c r="Q23" s="10">
        <v>133185.37</v>
      </c>
      <c r="R23" s="10">
        <v>5700</v>
      </c>
      <c r="S23" s="10">
        <v>190639.59</v>
      </c>
      <c r="T23" s="10">
        <v>5800</v>
      </c>
      <c r="U23" s="10">
        <v>138384.46</v>
      </c>
      <c r="V23" s="10">
        <v>5500</v>
      </c>
      <c r="W23" s="10">
        <v>157323.38</v>
      </c>
      <c r="X23" s="10">
        <v>5500</v>
      </c>
      <c r="Y23" s="10">
        <v>500</v>
      </c>
    </row>
    <row r="24" spans="1:25" ht="12.75">
      <c r="A24" s="5" t="s">
        <v>21</v>
      </c>
      <c r="B24" s="96" t="s">
        <v>22</v>
      </c>
      <c r="C24" s="20">
        <v>3780</v>
      </c>
      <c r="D24" s="45">
        <v>129298.21</v>
      </c>
      <c r="E24" s="20">
        <v>0</v>
      </c>
      <c r="F24" s="10">
        <v>120607.81</v>
      </c>
      <c r="G24" s="20">
        <v>0</v>
      </c>
      <c r="H24" s="45">
        <v>77867.93</v>
      </c>
      <c r="I24" s="20">
        <v>0</v>
      </c>
      <c r="J24" s="10">
        <v>153933.8</v>
      </c>
      <c r="K24" s="10">
        <v>194924.5</v>
      </c>
      <c r="L24" s="10">
        <v>0</v>
      </c>
      <c r="M24" s="10">
        <v>196466.78</v>
      </c>
      <c r="N24" s="10">
        <v>0</v>
      </c>
      <c r="O24" s="10">
        <v>160239</v>
      </c>
      <c r="P24" s="10">
        <v>0</v>
      </c>
      <c r="Q24" s="10">
        <v>169728.6</v>
      </c>
      <c r="R24" s="10">
        <v>334333.3</v>
      </c>
      <c r="S24" s="10">
        <v>412194.9</v>
      </c>
      <c r="T24" s="10">
        <v>0</v>
      </c>
      <c r="U24" s="10">
        <v>56998.47</v>
      </c>
      <c r="V24" s="10">
        <v>0</v>
      </c>
      <c r="W24" s="10">
        <v>52863.77</v>
      </c>
      <c r="X24" s="10">
        <v>0</v>
      </c>
      <c r="Y24" s="10">
        <v>0</v>
      </c>
    </row>
    <row r="25" spans="1:25" ht="12.75">
      <c r="A25" s="5" t="s">
        <v>23</v>
      </c>
      <c r="B25" s="96" t="s">
        <v>24</v>
      </c>
      <c r="C25" s="20">
        <v>0</v>
      </c>
      <c r="D25" s="45">
        <v>0</v>
      </c>
      <c r="E25" s="20">
        <v>0</v>
      </c>
      <c r="F25" s="10">
        <v>0</v>
      </c>
      <c r="G25" s="20">
        <v>0</v>
      </c>
      <c r="H25" s="45">
        <v>0</v>
      </c>
      <c r="I25" s="2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1:25" ht="12.75">
      <c r="A26" s="5" t="s">
        <v>25</v>
      </c>
      <c r="B26" s="96" t="s">
        <v>26</v>
      </c>
      <c r="C26" s="20">
        <f>850000+100000+50000</f>
        <v>1000000</v>
      </c>
      <c r="D26" s="49">
        <v>1546988.52</v>
      </c>
      <c r="E26" s="57">
        <v>1005467.6</v>
      </c>
      <c r="F26" s="17">
        <v>1600956.59</v>
      </c>
      <c r="G26" s="57">
        <v>1277550</v>
      </c>
      <c r="H26" s="49">
        <v>657420.01</v>
      </c>
      <c r="I26" s="57">
        <v>260000</v>
      </c>
      <c r="J26" s="17">
        <v>1085003.32</v>
      </c>
      <c r="K26" s="17">
        <v>1465675.62</v>
      </c>
      <c r="L26" s="17">
        <v>75000</v>
      </c>
      <c r="M26" s="17">
        <v>1208885.59</v>
      </c>
      <c r="N26" s="17">
        <v>50000</v>
      </c>
      <c r="O26" s="17">
        <v>2163164.83</v>
      </c>
      <c r="P26" s="17">
        <v>521111</v>
      </c>
      <c r="Q26" s="17">
        <v>1692357.72</v>
      </c>
      <c r="R26" s="17">
        <v>171300</v>
      </c>
      <c r="S26" s="17">
        <v>4207190.33</v>
      </c>
      <c r="T26" s="17">
        <v>187750</v>
      </c>
      <c r="U26" s="17">
        <v>1050829.18</v>
      </c>
      <c r="V26" s="10">
        <v>195125</v>
      </c>
      <c r="W26" s="10">
        <v>890411.22</v>
      </c>
      <c r="X26" s="10">
        <v>178750</v>
      </c>
      <c r="Y26" s="10">
        <v>169750</v>
      </c>
    </row>
    <row r="27" spans="1:25" ht="13.5" thickBot="1">
      <c r="A27" s="5" t="s">
        <v>27</v>
      </c>
      <c r="B27" s="96" t="s">
        <v>28</v>
      </c>
      <c r="C27" s="20">
        <v>100000</v>
      </c>
      <c r="D27" s="45">
        <v>125567.98</v>
      </c>
      <c r="E27" s="20">
        <v>80000</v>
      </c>
      <c r="F27" s="10">
        <v>188028.63</v>
      </c>
      <c r="G27" s="20">
        <v>224800</v>
      </c>
      <c r="H27" s="45">
        <v>248644.93</v>
      </c>
      <c r="I27" s="20">
        <f>35000+3800+300+200+300+400+100000+89829+100000</f>
        <v>329829</v>
      </c>
      <c r="J27" s="10">
        <v>273851.59</v>
      </c>
      <c r="K27" s="10">
        <v>255725.38</v>
      </c>
      <c r="L27" s="10">
        <f>750+49000+100000+135000+700+700</f>
        <v>286150</v>
      </c>
      <c r="M27" s="10">
        <v>203325.46</v>
      </c>
      <c r="N27" s="10">
        <v>288250</v>
      </c>
      <c r="O27" s="10">
        <v>227588.66</v>
      </c>
      <c r="P27" s="10">
        <v>268100</v>
      </c>
      <c r="Q27" s="10">
        <v>286284.59</v>
      </c>
      <c r="R27" s="10">
        <v>339800</v>
      </c>
      <c r="S27" s="10">
        <v>410112.59</v>
      </c>
      <c r="T27" s="10">
        <v>332900</v>
      </c>
      <c r="U27" s="10">
        <v>395449.04</v>
      </c>
      <c r="V27" s="10">
        <v>267900</v>
      </c>
      <c r="W27" s="10">
        <v>432971.73</v>
      </c>
      <c r="X27" s="10">
        <v>262900</v>
      </c>
      <c r="Y27" s="10">
        <v>247900</v>
      </c>
    </row>
    <row r="28" spans="1:25" ht="13.5" thickBot="1">
      <c r="A28" s="7"/>
      <c r="B28" s="98" t="s">
        <v>29</v>
      </c>
      <c r="C28" s="36">
        <f aca="true" t="shared" si="8" ref="C28:V28">SUM(C23:C27)</f>
        <v>1108780</v>
      </c>
      <c r="D28" s="48">
        <f t="shared" si="8"/>
        <v>1889012.58</v>
      </c>
      <c r="E28" s="36">
        <f t="shared" si="8"/>
        <v>1090467.6</v>
      </c>
      <c r="F28" s="37">
        <f t="shared" si="8"/>
        <v>2017213.8199999998</v>
      </c>
      <c r="G28" s="36">
        <f t="shared" si="8"/>
        <v>1539436</v>
      </c>
      <c r="H28" s="48">
        <f t="shared" si="8"/>
        <v>1090768.19</v>
      </c>
      <c r="I28" s="36">
        <f t="shared" si="8"/>
        <v>595229</v>
      </c>
      <c r="J28" s="37">
        <f t="shared" si="8"/>
        <v>1640601.6700000002</v>
      </c>
      <c r="K28" s="37">
        <f t="shared" si="8"/>
        <v>2057352.9300000002</v>
      </c>
      <c r="L28" s="37">
        <f t="shared" si="8"/>
        <v>366550</v>
      </c>
      <c r="M28" s="37">
        <f t="shared" si="8"/>
        <v>1741719.6600000001</v>
      </c>
      <c r="N28" s="37">
        <f t="shared" si="8"/>
        <v>343600</v>
      </c>
      <c r="O28" s="37">
        <f t="shared" si="8"/>
        <v>2745657.79</v>
      </c>
      <c r="P28" s="37">
        <f t="shared" si="8"/>
        <v>794911</v>
      </c>
      <c r="Q28" s="37">
        <f t="shared" si="8"/>
        <v>2281556.28</v>
      </c>
      <c r="R28" s="37">
        <f t="shared" si="8"/>
        <v>851133.3</v>
      </c>
      <c r="S28" s="37">
        <f t="shared" si="8"/>
        <v>5220137.41</v>
      </c>
      <c r="T28" s="37">
        <f t="shared" si="8"/>
        <v>526450</v>
      </c>
      <c r="U28" s="37">
        <f>SUM(U23:U27)</f>
        <v>1641661.15</v>
      </c>
      <c r="V28" s="37">
        <f t="shared" si="8"/>
        <v>468525</v>
      </c>
      <c r="W28" s="37">
        <f>SUM(W23:W27)</f>
        <v>1533570.0999999999</v>
      </c>
      <c r="X28" s="37">
        <f>SUM(X23:X27)</f>
        <v>447150</v>
      </c>
      <c r="Y28" s="37">
        <v>418150</v>
      </c>
    </row>
    <row r="29" spans="1:25" ht="12.75">
      <c r="A29" s="8"/>
      <c r="B29" s="99"/>
      <c r="C29" s="22"/>
      <c r="D29" s="50"/>
      <c r="E29" s="22"/>
      <c r="F29" s="13"/>
      <c r="G29" s="22"/>
      <c r="H29" s="50"/>
      <c r="I29" s="2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3.5" thickBot="1">
      <c r="A30" s="6" t="s">
        <v>30</v>
      </c>
      <c r="B30" s="100" t="s">
        <v>31</v>
      </c>
      <c r="C30" s="23"/>
      <c r="D30" s="51">
        <v>0</v>
      </c>
      <c r="E30" s="23">
        <v>0</v>
      </c>
      <c r="F30" s="11">
        <v>0</v>
      </c>
      <c r="G30" s="23">
        <v>0</v>
      </c>
      <c r="H30" s="51">
        <v>0</v>
      </c>
      <c r="I30" s="23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13.5" thickBot="1">
      <c r="A31" s="15"/>
      <c r="B31" s="98" t="s">
        <v>32</v>
      </c>
      <c r="C31" s="36">
        <f aca="true" t="shared" si="9" ref="C31:X31">SUM(C30:C30)</f>
        <v>0</v>
      </c>
      <c r="D31" s="48">
        <f t="shared" si="9"/>
        <v>0</v>
      </c>
      <c r="E31" s="36">
        <f t="shared" si="9"/>
        <v>0</v>
      </c>
      <c r="F31" s="37">
        <f t="shared" si="9"/>
        <v>0</v>
      </c>
      <c r="G31" s="36">
        <f t="shared" si="9"/>
        <v>0</v>
      </c>
      <c r="H31" s="48">
        <f t="shared" si="9"/>
        <v>0</v>
      </c>
      <c r="I31" s="36">
        <f t="shared" si="9"/>
        <v>0</v>
      </c>
      <c r="J31" s="37">
        <f t="shared" si="9"/>
        <v>0</v>
      </c>
      <c r="K31" s="37">
        <f t="shared" si="9"/>
        <v>0</v>
      </c>
      <c r="L31" s="37">
        <f t="shared" si="9"/>
        <v>0</v>
      </c>
      <c r="M31" s="37">
        <f t="shared" si="9"/>
        <v>0</v>
      </c>
      <c r="N31" s="37">
        <f t="shared" si="9"/>
        <v>0</v>
      </c>
      <c r="O31" s="37">
        <f t="shared" si="9"/>
        <v>0</v>
      </c>
      <c r="P31" s="37">
        <f t="shared" si="9"/>
        <v>0</v>
      </c>
      <c r="Q31" s="37">
        <f t="shared" si="9"/>
        <v>0</v>
      </c>
      <c r="R31" s="37">
        <f t="shared" si="9"/>
        <v>0</v>
      </c>
      <c r="S31" s="37">
        <f>SUM(S30:S30)</f>
        <v>0</v>
      </c>
      <c r="T31" s="37">
        <v>0</v>
      </c>
      <c r="U31" s="144">
        <v>0</v>
      </c>
      <c r="V31" s="37">
        <f t="shared" si="9"/>
        <v>0</v>
      </c>
      <c r="W31" s="37">
        <v>0</v>
      </c>
      <c r="X31" s="37">
        <f t="shared" si="9"/>
        <v>0</v>
      </c>
      <c r="Y31" s="37">
        <v>0</v>
      </c>
    </row>
    <row r="32" spans="1:25" ht="13.5" thickBot="1">
      <c r="A32" s="7"/>
      <c r="B32" s="101"/>
      <c r="C32" s="21"/>
      <c r="D32" s="52"/>
      <c r="E32" s="21"/>
      <c r="F32" s="12"/>
      <c r="G32" s="21"/>
      <c r="H32" s="52"/>
      <c r="I32" s="2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3.5" thickBot="1">
      <c r="A33" s="80"/>
      <c r="B33" s="95" t="s">
        <v>33</v>
      </c>
      <c r="C33" s="88">
        <f aca="true" t="shared" si="10" ref="C33:K33">SUM(C31,C28,C21)</f>
        <v>31623817</v>
      </c>
      <c r="D33" s="87">
        <f t="shared" si="10"/>
        <v>38572334.14</v>
      </c>
      <c r="E33" s="86">
        <f t="shared" si="10"/>
        <v>34821568.6</v>
      </c>
      <c r="F33" s="88">
        <f t="shared" si="10"/>
        <v>39241405.910000004</v>
      </c>
      <c r="G33" s="86">
        <f t="shared" si="10"/>
        <v>39298436</v>
      </c>
      <c r="H33" s="87">
        <f t="shared" si="10"/>
        <v>42197252.519999996</v>
      </c>
      <c r="I33" s="86">
        <f t="shared" si="10"/>
        <v>39706837</v>
      </c>
      <c r="J33" s="88">
        <f t="shared" si="10"/>
        <v>45782285.85</v>
      </c>
      <c r="K33" s="88">
        <f t="shared" si="10"/>
        <v>40215178.24</v>
      </c>
      <c r="L33" s="88">
        <f aca="true" t="shared" si="11" ref="L33:S33">L21+L28+L31</f>
        <v>39324550</v>
      </c>
      <c r="M33" s="88">
        <f t="shared" si="11"/>
        <v>41508452.870000005</v>
      </c>
      <c r="N33" s="88">
        <f t="shared" si="11"/>
        <v>39501600</v>
      </c>
      <c r="O33" s="88">
        <f t="shared" si="11"/>
        <v>43159638.56999999</v>
      </c>
      <c r="P33" s="88">
        <f t="shared" si="11"/>
        <v>38640776</v>
      </c>
      <c r="Q33" s="88">
        <f t="shared" si="11"/>
        <v>43542508.46</v>
      </c>
      <c r="R33" s="88">
        <f t="shared" si="11"/>
        <v>39172133.3</v>
      </c>
      <c r="S33" s="88">
        <f t="shared" si="11"/>
        <v>48836171.370000005</v>
      </c>
      <c r="T33" s="88">
        <v>40936450</v>
      </c>
      <c r="U33" s="88">
        <f>U21+U28</f>
        <v>47045755.32</v>
      </c>
      <c r="V33" s="88">
        <f>V21+V28+V31</f>
        <v>42862192</v>
      </c>
      <c r="W33" s="88">
        <f>W21+W28</f>
        <v>51010202.68000001</v>
      </c>
      <c r="X33" s="88">
        <f>X21+X28</f>
        <v>46577150</v>
      </c>
      <c r="Y33" s="88">
        <v>54068150</v>
      </c>
    </row>
    <row r="34" spans="1:25" ht="12.75">
      <c r="A34" s="5">
        <v>4112</v>
      </c>
      <c r="B34" s="96" t="s">
        <v>58</v>
      </c>
      <c r="C34" s="10">
        <v>407409</v>
      </c>
      <c r="D34" s="45">
        <v>407409</v>
      </c>
      <c r="E34" s="20">
        <v>435391</v>
      </c>
      <c r="F34" s="10">
        <v>421064.96</v>
      </c>
      <c r="G34" s="20">
        <v>114816</v>
      </c>
      <c r="H34" s="49">
        <v>114816</v>
      </c>
      <c r="I34" s="20">
        <v>116345</v>
      </c>
      <c r="J34" s="10">
        <v>116345</v>
      </c>
      <c r="K34" s="10">
        <v>121267</v>
      </c>
      <c r="L34" s="17">
        <v>137783</v>
      </c>
      <c r="M34" s="17">
        <v>137783</v>
      </c>
      <c r="N34" s="17">
        <v>131979</v>
      </c>
      <c r="O34" s="17">
        <v>131979</v>
      </c>
      <c r="P34" s="17">
        <v>131033</v>
      </c>
      <c r="Q34" s="17">
        <v>131033</v>
      </c>
      <c r="R34" s="17">
        <v>131345</v>
      </c>
      <c r="S34" s="17">
        <v>131345</v>
      </c>
      <c r="T34" s="17">
        <v>814349</v>
      </c>
      <c r="U34" s="17">
        <v>814349</v>
      </c>
      <c r="V34" s="10">
        <v>833725.3</v>
      </c>
      <c r="W34" s="10">
        <v>833725.3</v>
      </c>
      <c r="X34" s="10">
        <v>906192.6</v>
      </c>
      <c r="Y34" s="10">
        <v>0</v>
      </c>
    </row>
    <row r="35" spans="1:25" ht="12.75">
      <c r="A35" s="5">
        <v>4116</v>
      </c>
      <c r="B35" s="96" t="s">
        <v>41</v>
      </c>
      <c r="C35" s="10">
        <v>0</v>
      </c>
      <c r="D35" s="53">
        <v>6503882</v>
      </c>
      <c r="E35" s="20">
        <v>0</v>
      </c>
      <c r="F35" s="17">
        <v>6724949</v>
      </c>
      <c r="G35" s="20">
        <v>0</v>
      </c>
      <c r="H35" s="45">
        <v>7989161.7</v>
      </c>
      <c r="I35" s="20">
        <v>0</v>
      </c>
      <c r="J35" s="17">
        <v>8245848.6</v>
      </c>
      <c r="K35" s="17">
        <v>8845424.1</v>
      </c>
      <c r="L35" s="10">
        <v>0</v>
      </c>
      <c r="M35" s="17">
        <v>8686997.17</v>
      </c>
      <c r="N35" s="10">
        <v>0</v>
      </c>
      <c r="O35" s="10">
        <v>8962323.62</v>
      </c>
      <c r="P35" s="10">
        <v>0</v>
      </c>
      <c r="Q35" s="10">
        <v>9224935.5</v>
      </c>
      <c r="R35" s="10">
        <v>0</v>
      </c>
      <c r="S35" s="17">
        <v>10347958.5</v>
      </c>
      <c r="T35" s="10">
        <v>0</v>
      </c>
      <c r="U35" s="10">
        <v>10194344.8</v>
      </c>
      <c r="V35" s="10">
        <v>0</v>
      </c>
      <c r="W35" s="10">
        <v>11135763.9</v>
      </c>
      <c r="X35" s="10">
        <v>0</v>
      </c>
      <c r="Y35" s="10">
        <v>0</v>
      </c>
    </row>
    <row r="36" spans="1:25" ht="12.75">
      <c r="A36" s="5">
        <v>4121</v>
      </c>
      <c r="B36" s="96" t="s">
        <v>59</v>
      </c>
      <c r="C36" s="10">
        <v>-3111564</v>
      </c>
      <c r="D36" s="49">
        <v>-3111564</v>
      </c>
      <c r="E36" s="57">
        <v>-3190082.6</v>
      </c>
      <c r="F36" s="17">
        <v>-3190082.6</v>
      </c>
      <c r="G36" s="57">
        <v>-3258222</v>
      </c>
      <c r="H36" s="49">
        <v>-3258222</v>
      </c>
      <c r="I36" s="57">
        <v>-3422139.6</v>
      </c>
      <c r="J36" s="17">
        <v>-3422139.6</v>
      </c>
      <c r="K36" s="17">
        <v>-3748223.5</v>
      </c>
      <c r="L36" s="17">
        <v>-3534916</v>
      </c>
      <c r="M36" s="17">
        <v>-3534916</v>
      </c>
      <c r="N36" s="17">
        <v>-3454549</v>
      </c>
      <c r="O36" s="17">
        <v>-3454549</v>
      </c>
      <c r="P36" s="17">
        <v>-3300538</v>
      </c>
      <c r="Q36" s="17">
        <v>-3300538</v>
      </c>
      <c r="R36" s="17">
        <v>-3403500.6</v>
      </c>
      <c r="S36" s="17">
        <v>-3370000.6</v>
      </c>
      <c r="T36" s="17">
        <v>0</v>
      </c>
      <c r="U36" s="17">
        <v>0</v>
      </c>
      <c r="V36" s="10">
        <v>0</v>
      </c>
      <c r="W36" s="10">
        <v>0</v>
      </c>
      <c r="X36" s="10">
        <v>0</v>
      </c>
      <c r="Y36" s="10">
        <v>0</v>
      </c>
    </row>
    <row r="37" spans="1:25" ht="12.75">
      <c r="A37" s="5">
        <v>4131.2</v>
      </c>
      <c r="B37" s="96" t="s">
        <v>60</v>
      </c>
      <c r="C37" s="10">
        <v>273000</v>
      </c>
      <c r="D37" s="45">
        <v>941970.95</v>
      </c>
      <c r="E37" s="20">
        <v>638104</v>
      </c>
      <c r="F37" s="10">
        <v>806357.84</v>
      </c>
      <c r="G37" s="20">
        <v>632229</v>
      </c>
      <c r="H37" s="45">
        <v>599695.77</v>
      </c>
      <c r="I37" s="20">
        <v>801550</v>
      </c>
      <c r="J37" s="10">
        <v>1005256.07</v>
      </c>
      <c r="K37" s="10">
        <v>1463478.52</v>
      </c>
      <c r="L37" s="10">
        <v>1272288</v>
      </c>
      <c r="M37" s="10">
        <v>1122557.18</v>
      </c>
      <c r="N37" s="17">
        <v>1200000</v>
      </c>
      <c r="O37" s="17">
        <v>482932.21</v>
      </c>
      <c r="P37" s="10">
        <v>394936</v>
      </c>
      <c r="Q37" s="10">
        <v>556078.62</v>
      </c>
      <c r="R37" s="10">
        <v>895811</v>
      </c>
      <c r="S37" s="10">
        <v>1235251.75</v>
      </c>
      <c r="T37" s="10">
        <v>340327</v>
      </c>
      <c r="U37" s="10">
        <v>1744423.88</v>
      </c>
      <c r="V37" s="10">
        <v>717455</v>
      </c>
      <c r="W37" s="10">
        <v>1246600.03</v>
      </c>
      <c r="X37" s="10">
        <v>596535</v>
      </c>
      <c r="Y37" s="10">
        <v>2</v>
      </c>
    </row>
    <row r="38" spans="1:25" ht="13.5" thickBot="1">
      <c r="A38" s="6">
        <v>4137</v>
      </c>
      <c r="B38" s="100" t="s">
        <v>69</v>
      </c>
      <c r="C38" s="11"/>
      <c r="D38" s="51"/>
      <c r="E38" s="23"/>
      <c r="F38" s="11"/>
      <c r="G38" s="23"/>
      <c r="H38" s="51"/>
      <c r="I38" s="23"/>
      <c r="J38" s="11"/>
      <c r="K38" s="11"/>
      <c r="L38" s="11">
        <v>0</v>
      </c>
      <c r="M38" s="11">
        <v>0</v>
      </c>
      <c r="N38" s="132">
        <v>0</v>
      </c>
      <c r="O38" s="132">
        <v>0</v>
      </c>
      <c r="P38" s="11">
        <v>0</v>
      </c>
      <c r="Q38" s="11">
        <v>0</v>
      </c>
      <c r="R38" s="11">
        <v>0</v>
      </c>
      <c r="S38" s="11">
        <v>0</v>
      </c>
      <c r="T38" s="11">
        <v>10075.3</v>
      </c>
      <c r="U38" s="11">
        <v>180031.43</v>
      </c>
      <c r="V38" s="11">
        <v>10075.3</v>
      </c>
      <c r="W38" s="11">
        <v>221104.6</v>
      </c>
      <c r="X38" s="132">
        <v>12875.3</v>
      </c>
      <c r="Y38" s="10">
        <v>28075.3</v>
      </c>
    </row>
    <row r="39" spans="1:25" ht="13.5" thickBot="1">
      <c r="A39" s="7"/>
      <c r="B39" s="98" t="s">
        <v>43</v>
      </c>
      <c r="C39" s="37">
        <f aca="true" t="shared" si="12" ref="C39:K39">SUM(C34:C37)</f>
        <v>-2431155</v>
      </c>
      <c r="D39" s="54">
        <f t="shared" si="12"/>
        <v>4741697.95</v>
      </c>
      <c r="E39" s="36">
        <f t="shared" si="12"/>
        <v>-2116587.6</v>
      </c>
      <c r="F39" s="36">
        <f t="shared" si="12"/>
        <v>4762289.2</v>
      </c>
      <c r="G39" s="36">
        <f t="shared" si="12"/>
        <v>-2511177</v>
      </c>
      <c r="H39" s="54">
        <f t="shared" si="12"/>
        <v>5445451.470000001</v>
      </c>
      <c r="I39" s="36">
        <f t="shared" si="12"/>
        <v>-2504244.6</v>
      </c>
      <c r="J39" s="37">
        <f t="shared" si="12"/>
        <v>5945310.07</v>
      </c>
      <c r="K39" s="36">
        <f t="shared" si="12"/>
        <v>6681946.119999999</v>
      </c>
      <c r="L39" s="36">
        <f aca="true" t="shared" si="13" ref="L39:V39">SUM(L34:L38)</f>
        <v>-2124845</v>
      </c>
      <c r="M39" s="36">
        <f t="shared" si="13"/>
        <v>6412421.35</v>
      </c>
      <c r="N39" s="36">
        <f t="shared" si="13"/>
        <v>-2122570</v>
      </c>
      <c r="O39" s="36">
        <f t="shared" si="13"/>
        <v>6122685.829999999</v>
      </c>
      <c r="P39" s="36">
        <f t="shared" si="13"/>
        <v>-2774569</v>
      </c>
      <c r="Q39" s="36">
        <f t="shared" si="13"/>
        <v>6611509.12</v>
      </c>
      <c r="R39" s="36">
        <f t="shared" si="13"/>
        <v>-2376344.6</v>
      </c>
      <c r="S39" s="36">
        <f t="shared" si="13"/>
        <v>8344554.65</v>
      </c>
      <c r="T39" s="36">
        <f t="shared" si="13"/>
        <v>1164751.3</v>
      </c>
      <c r="U39" s="36">
        <f>SUM(U34:U38)</f>
        <v>12933149.11</v>
      </c>
      <c r="V39" s="36">
        <f t="shared" si="13"/>
        <v>1561255.6</v>
      </c>
      <c r="W39" s="36">
        <f>SUM(W34:W38)</f>
        <v>13437193.83</v>
      </c>
      <c r="X39" s="36">
        <f>SUM(X34:X38)</f>
        <v>1515602.9000000001</v>
      </c>
      <c r="Y39" s="36">
        <v>28077.3</v>
      </c>
    </row>
    <row r="40" spans="1:25" ht="13.5" thickBot="1">
      <c r="A40" s="80"/>
      <c r="B40" s="95" t="s">
        <v>66</v>
      </c>
      <c r="C40" s="88">
        <f aca="true" t="shared" si="14" ref="C40:K40">SUM(C39,C33)</f>
        <v>29192662</v>
      </c>
      <c r="D40" s="89">
        <f t="shared" si="14"/>
        <v>43314032.09</v>
      </c>
      <c r="E40" s="86">
        <f t="shared" si="14"/>
        <v>32704981</v>
      </c>
      <c r="F40" s="86">
        <f t="shared" si="14"/>
        <v>44003695.11000001</v>
      </c>
      <c r="G40" s="86">
        <f t="shared" si="14"/>
        <v>36787259</v>
      </c>
      <c r="H40" s="89">
        <f t="shared" si="14"/>
        <v>47642703.989999995</v>
      </c>
      <c r="I40" s="86">
        <f t="shared" si="14"/>
        <v>37202592.4</v>
      </c>
      <c r="J40" s="88">
        <f t="shared" si="14"/>
        <v>51727595.92</v>
      </c>
      <c r="K40" s="86">
        <f t="shared" si="14"/>
        <v>46897124.36</v>
      </c>
      <c r="L40" s="86">
        <f aca="true" t="shared" si="15" ref="L40:S40">L33+L39</f>
        <v>37199705</v>
      </c>
      <c r="M40" s="86">
        <f t="shared" si="15"/>
        <v>47920874.220000006</v>
      </c>
      <c r="N40" s="86">
        <f t="shared" si="15"/>
        <v>37379030</v>
      </c>
      <c r="O40" s="86">
        <f t="shared" si="15"/>
        <v>49282324.39999999</v>
      </c>
      <c r="P40" s="86">
        <f t="shared" si="15"/>
        <v>35866207</v>
      </c>
      <c r="Q40" s="86">
        <f t="shared" si="15"/>
        <v>50154017.58</v>
      </c>
      <c r="R40" s="86">
        <f t="shared" si="15"/>
        <v>36795788.699999996</v>
      </c>
      <c r="S40" s="86">
        <f t="shared" si="15"/>
        <v>57180726.02</v>
      </c>
      <c r="T40" s="86">
        <v>42101201.3</v>
      </c>
      <c r="U40" s="86">
        <f>U33+U39</f>
        <v>59978904.43</v>
      </c>
      <c r="V40" s="86">
        <f>V33+V39</f>
        <v>44423447.6</v>
      </c>
      <c r="W40" s="86">
        <f>W21+W28+W39</f>
        <v>64447396.510000005</v>
      </c>
      <c r="X40" s="86">
        <f>X33+X39</f>
        <v>48092752.9</v>
      </c>
      <c r="Y40" s="86">
        <v>54096227.3</v>
      </c>
    </row>
    <row r="41" spans="1:25" ht="13.5" thickBot="1">
      <c r="A41" s="9"/>
      <c r="B41" s="108"/>
      <c r="C41" s="14"/>
      <c r="D41" s="55"/>
      <c r="E41" s="24"/>
      <c r="F41" s="14"/>
      <c r="G41" s="24"/>
      <c r="H41" s="55"/>
      <c r="I41" s="2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3.5" thickBot="1">
      <c r="A42" s="80"/>
      <c r="B42" s="95" t="s">
        <v>34</v>
      </c>
      <c r="C42" s="102"/>
      <c r="D42" s="87"/>
      <c r="E42" s="86"/>
      <c r="F42" s="86"/>
      <c r="G42" s="86"/>
      <c r="H42" s="89"/>
      <c r="I42" s="86"/>
      <c r="J42" s="88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ht="12.75">
      <c r="A43" s="38">
        <v>8115</v>
      </c>
      <c r="B43" s="109" t="s">
        <v>62</v>
      </c>
      <c r="C43" s="103">
        <v>0</v>
      </c>
      <c r="D43" s="45">
        <v>0</v>
      </c>
      <c r="E43" s="20">
        <v>0</v>
      </c>
      <c r="F43" s="10">
        <v>0</v>
      </c>
      <c r="G43" s="20">
        <v>0</v>
      </c>
      <c r="H43" s="45">
        <v>0</v>
      </c>
      <c r="I43" s="20">
        <v>0</v>
      </c>
      <c r="J43" s="10">
        <v>0</v>
      </c>
      <c r="K43" s="10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0">
        <v>959571</v>
      </c>
    </row>
    <row r="44" spans="1:25" ht="12.75">
      <c r="A44" s="39">
        <v>8115</v>
      </c>
      <c r="B44" s="110" t="s">
        <v>42</v>
      </c>
      <c r="C44" s="104">
        <v>6116725</v>
      </c>
      <c r="D44" s="45">
        <v>0</v>
      </c>
      <c r="E44" s="20">
        <v>6485732</v>
      </c>
      <c r="F44" s="10">
        <v>0</v>
      </c>
      <c r="G44" s="20">
        <v>6693429</v>
      </c>
      <c r="H44" s="45">
        <v>0</v>
      </c>
      <c r="I44" s="20">
        <f>7035808+342379</f>
        <v>7378187</v>
      </c>
      <c r="J44" s="10">
        <v>0</v>
      </c>
      <c r="K44" s="10">
        <v>0</v>
      </c>
      <c r="L44" s="10">
        <v>7506179</v>
      </c>
      <c r="M44" s="10">
        <v>0</v>
      </c>
      <c r="N44" s="10">
        <v>7351374</v>
      </c>
      <c r="O44" s="10">
        <v>0</v>
      </c>
      <c r="P44" s="10">
        <v>7837893</v>
      </c>
      <c r="Q44" s="10">
        <v>0</v>
      </c>
      <c r="R44" s="10">
        <v>8128218</v>
      </c>
      <c r="S44" s="10">
        <v>0</v>
      </c>
      <c r="T44" s="10">
        <v>8395863</v>
      </c>
      <c r="U44" s="10">
        <v>0</v>
      </c>
      <c r="V44" s="10">
        <v>8634385</v>
      </c>
      <c r="W44" s="10">
        <v>0</v>
      </c>
      <c r="X44" s="10">
        <v>9511237</v>
      </c>
      <c r="Y44" s="10">
        <v>10509098</v>
      </c>
    </row>
    <row r="45" spans="1:25" ht="12.75">
      <c r="A45" s="39">
        <v>8115</v>
      </c>
      <c r="B45" s="111" t="s">
        <v>45</v>
      </c>
      <c r="C45" s="105">
        <v>2300000</v>
      </c>
      <c r="D45" s="45">
        <v>2300000</v>
      </c>
      <c r="E45" s="20">
        <v>2000000</v>
      </c>
      <c r="F45" s="10">
        <v>2000000</v>
      </c>
      <c r="G45" s="20">
        <v>0</v>
      </c>
      <c r="H45" s="45">
        <v>0</v>
      </c>
      <c r="I45" s="20">
        <v>0</v>
      </c>
      <c r="J45" s="10">
        <v>0</v>
      </c>
      <c r="K45" s="10">
        <v>0</v>
      </c>
      <c r="L45" s="10">
        <v>1000000</v>
      </c>
      <c r="M45" s="10">
        <v>1000000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2500000</v>
      </c>
      <c r="U45" s="10">
        <v>2500000</v>
      </c>
      <c r="V45" s="10">
        <v>2500000</v>
      </c>
      <c r="W45" s="10">
        <v>2500000</v>
      </c>
      <c r="X45" s="10">
        <v>7800000</v>
      </c>
      <c r="Y45" s="10">
        <v>2000000</v>
      </c>
    </row>
    <row r="46" spans="1:25" ht="12.75">
      <c r="A46" s="39">
        <v>8115</v>
      </c>
      <c r="B46" s="111" t="s">
        <v>74</v>
      </c>
      <c r="C46" s="105"/>
      <c r="D46" s="45"/>
      <c r="E46" s="20"/>
      <c r="F46" s="10"/>
      <c r="G46" s="20"/>
      <c r="H46" s="45"/>
      <c r="I46" s="20"/>
      <c r="J46" s="10"/>
      <c r="K46" s="10"/>
      <c r="L46" s="10"/>
      <c r="M46" s="10"/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253473.3</v>
      </c>
      <c r="Y46" s="10">
        <v>140250</v>
      </c>
    </row>
    <row r="47" spans="1:25" ht="13.5" thickBot="1">
      <c r="A47" s="5">
        <v>8115</v>
      </c>
      <c r="B47" s="67" t="s">
        <v>61</v>
      </c>
      <c r="C47" s="106">
        <v>4176794.1</v>
      </c>
      <c r="D47" s="45">
        <v>4176794.1</v>
      </c>
      <c r="E47" s="20">
        <v>2599682.3</v>
      </c>
      <c r="F47" s="10">
        <v>2599682.3</v>
      </c>
      <c r="G47" s="20">
        <v>3459472.3</v>
      </c>
      <c r="H47" s="45">
        <v>3459472.3</v>
      </c>
      <c r="I47" s="20">
        <v>1008790</v>
      </c>
      <c r="J47" s="10">
        <v>1008790</v>
      </c>
      <c r="K47" s="10">
        <v>3916270</v>
      </c>
      <c r="L47" s="10">
        <v>1275083.7</v>
      </c>
      <c r="M47" s="10">
        <v>1275083.7</v>
      </c>
      <c r="N47" s="17">
        <f>1709930.6+52650</f>
        <v>1762580.6</v>
      </c>
      <c r="O47" s="17">
        <v>1762580.6</v>
      </c>
      <c r="P47" s="10">
        <v>1612192.3</v>
      </c>
      <c r="Q47" s="10">
        <v>1612192.3</v>
      </c>
      <c r="R47" s="10">
        <v>4421605</v>
      </c>
      <c r="S47" s="10">
        <v>4421605</v>
      </c>
      <c r="T47" s="10">
        <v>4648892.44</v>
      </c>
      <c r="U47" s="10">
        <v>4648892.44</v>
      </c>
      <c r="V47" s="10">
        <v>4827796.6</v>
      </c>
      <c r="W47" s="10">
        <v>4827796.6</v>
      </c>
      <c r="X47" s="10">
        <v>2985617.1</v>
      </c>
      <c r="Y47" s="10">
        <v>4996852.299999999</v>
      </c>
    </row>
    <row r="48" spans="1:25" ht="12.75">
      <c r="A48" s="5">
        <v>8115</v>
      </c>
      <c r="B48" s="112" t="s">
        <v>81</v>
      </c>
      <c r="C48" s="105"/>
      <c r="D48" s="45"/>
      <c r="E48" s="20"/>
      <c r="F48" s="10"/>
      <c r="G48" s="20"/>
      <c r="H48" s="45"/>
      <c r="I48" s="20"/>
      <c r="J48" s="10"/>
      <c r="K48" s="10"/>
      <c r="L48" s="10"/>
      <c r="M48" s="10"/>
      <c r="N48" s="17">
        <v>0</v>
      </c>
      <c r="O48" s="17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136708</v>
      </c>
      <c r="Y48" s="10">
        <v>300000</v>
      </c>
    </row>
    <row r="49" spans="1:25" ht="12.75">
      <c r="A49" s="5">
        <v>8115</v>
      </c>
      <c r="B49" s="112" t="s">
        <v>47</v>
      </c>
      <c r="C49" s="107"/>
      <c r="D49" s="45"/>
      <c r="E49" s="20"/>
      <c r="F49" s="10"/>
      <c r="G49" s="20">
        <v>0</v>
      </c>
      <c r="H49" s="45">
        <v>0</v>
      </c>
      <c r="I49" s="2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2.75">
      <c r="A50" s="5">
        <v>8121</v>
      </c>
      <c r="B50" s="112" t="s">
        <v>48</v>
      </c>
      <c r="C50" s="107"/>
      <c r="D50" s="45"/>
      <c r="E50" s="20"/>
      <c r="F50" s="10"/>
      <c r="G50" s="20"/>
      <c r="H50" s="45"/>
      <c r="I50" s="20">
        <v>0</v>
      </c>
      <c r="J50" s="10">
        <v>0</v>
      </c>
      <c r="K50" s="10">
        <v>0</v>
      </c>
      <c r="L50" s="10">
        <v>5000000</v>
      </c>
      <c r="M50" s="10">
        <v>5000000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2.75">
      <c r="A51" s="68" t="s">
        <v>46</v>
      </c>
      <c r="B51" s="111" t="s">
        <v>38</v>
      </c>
      <c r="C51" s="104">
        <v>14901</v>
      </c>
      <c r="D51" s="45">
        <v>14901</v>
      </c>
      <c r="E51" s="20">
        <v>15234</v>
      </c>
      <c r="F51" s="10">
        <v>15234</v>
      </c>
      <c r="G51" s="20">
        <v>10944.7</v>
      </c>
      <c r="H51" s="45">
        <v>10944.7</v>
      </c>
      <c r="I51" s="20">
        <v>13308.6</v>
      </c>
      <c r="J51" s="10">
        <v>13308.6</v>
      </c>
      <c r="K51" s="10">
        <v>5965.7</v>
      </c>
      <c r="L51" s="17">
        <v>2826.7</v>
      </c>
      <c r="M51" s="17">
        <v>2826.7</v>
      </c>
      <c r="N51" s="17">
        <v>3055.5</v>
      </c>
      <c r="O51" s="17">
        <v>3034.33</v>
      </c>
      <c r="P51" s="17">
        <v>7400</v>
      </c>
      <c r="Q51" s="17">
        <v>7400</v>
      </c>
      <c r="R51" s="17">
        <v>4852.7</v>
      </c>
      <c r="S51" s="17">
        <v>4852.7</v>
      </c>
      <c r="T51" s="17">
        <v>0</v>
      </c>
      <c r="U51" s="17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ht="13.5" thickBot="1">
      <c r="A52" s="6">
        <v>8223</v>
      </c>
      <c r="B52" s="122" t="s">
        <v>71</v>
      </c>
      <c r="C52" s="105"/>
      <c r="D52" s="51"/>
      <c r="E52" s="23"/>
      <c r="F52" s="11"/>
      <c r="G52" s="23"/>
      <c r="H52" s="51"/>
      <c r="I52" s="23"/>
      <c r="J52" s="11"/>
      <c r="K52" s="11"/>
      <c r="L52" s="11">
        <v>0</v>
      </c>
      <c r="M52" s="11">
        <v>0</v>
      </c>
      <c r="N52" s="11">
        <v>0</v>
      </c>
      <c r="O52" s="11">
        <v>6000000</v>
      </c>
      <c r="P52" s="11">
        <v>0</v>
      </c>
      <c r="Q52" s="11">
        <v>2500000</v>
      </c>
      <c r="R52" s="11">
        <v>0</v>
      </c>
      <c r="S52" s="11">
        <v>0</v>
      </c>
      <c r="T52" s="11">
        <v>0</v>
      </c>
      <c r="U52" s="11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ht="13.5" thickBot="1">
      <c r="A53" s="80"/>
      <c r="B53" s="95" t="s">
        <v>67</v>
      </c>
      <c r="C53" s="88">
        <f>SUM(C43:C47)</f>
        <v>12593519.1</v>
      </c>
      <c r="D53" s="89">
        <f>SUM(D43:D47)</f>
        <v>6476794.1</v>
      </c>
      <c r="E53" s="86">
        <f>SUM(E43:E47)</f>
        <v>11085414.3</v>
      </c>
      <c r="F53" s="86">
        <f>SUM(F43:F47)</f>
        <v>4599682.3</v>
      </c>
      <c r="G53" s="86">
        <f aca="true" t="shared" si="16" ref="G53:N53">SUM(G43:G52)</f>
        <v>10163846</v>
      </c>
      <c r="H53" s="89">
        <f t="shared" si="16"/>
        <v>3470417</v>
      </c>
      <c r="I53" s="86">
        <f t="shared" si="16"/>
        <v>8400285.6</v>
      </c>
      <c r="J53" s="88">
        <f t="shared" si="16"/>
        <v>1022098.6</v>
      </c>
      <c r="K53" s="86">
        <f t="shared" si="16"/>
        <v>3922235.7</v>
      </c>
      <c r="L53" s="86">
        <f t="shared" si="16"/>
        <v>14784089.399999999</v>
      </c>
      <c r="M53" s="86">
        <f t="shared" si="16"/>
        <v>7277910.4</v>
      </c>
      <c r="N53" s="86">
        <f t="shared" si="16"/>
        <v>9117010.1</v>
      </c>
      <c r="O53" s="86">
        <f>SUM(O47:O52)</f>
        <v>7765614.93</v>
      </c>
      <c r="P53" s="86">
        <f aca="true" t="shared" si="17" ref="P53:X53">SUM(P43:P52)</f>
        <v>9457485.3</v>
      </c>
      <c r="Q53" s="86">
        <f t="shared" si="17"/>
        <v>4119592.3</v>
      </c>
      <c r="R53" s="86">
        <f t="shared" si="17"/>
        <v>12554675.7</v>
      </c>
      <c r="S53" s="86">
        <f t="shared" si="17"/>
        <v>4426457.7</v>
      </c>
      <c r="T53" s="86">
        <f t="shared" si="17"/>
        <v>15544755.440000001</v>
      </c>
      <c r="U53" s="86">
        <f t="shared" si="17"/>
        <v>7148892.44</v>
      </c>
      <c r="V53" s="86">
        <f t="shared" si="17"/>
        <v>15962181.6</v>
      </c>
      <c r="W53" s="86">
        <f>SUM(W45:W52)</f>
        <v>7327796.6</v>
      </c>
      <c r="X53" s="86">
        <f t="shared" si="17"/>
        <v>20687035.400000002</v>
      </c>
      <c r="Y53" s="86">
        <v>18905771.299999997</v>
      </c>
    </row>
    <row r="54" spans="1:24" ht="13.5" thickBot="1">
      <c r="A54" s="6"/>
      <c r="B54" s="113"/>
      <c r="C54" s="106"/>
      <c r="D54" s="51"/>
      <c r="E54" s="23"/>
      <c r="F54" s="11"/>
      <c r="G54" s="23"/>
      <c r="H54" s="51"/>
      <c r="I54" s="2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 ht="13.5" thickBot="1">
      <c r="A55" s="80"/>
      <c r="B55" s="95" t="s">
        <v>68</v>
      </c>
      <c r="C55" s="88">
        <f aca="true" t="shared" si="18" ref="C55:J55">SUM(C40+C53)</f>
        <v>41786181.1</v>
      </c>
      <c r="D55" s="89">
        <f t="shared" si="18"/>
        <v>49790826.190000005</v>
      </c>
      <c r="E55" s="86">
        <f t="shared" si="18"/>
        <v>43790395.3</v>
      </c>
      <c r="F55" s="86">
        <f t="shared" si="18"/>
        <v>48603377.410000004</v>
      </c>
      <c r="G55" s="86">
        <f t="shared" si="18"/>
        <v>46951105</v>
      </c>
      <c r="H55" s="89">
        <f t="shared" si="18"/>
        <v>51113120.989999995</v>
      </c>
      <c r="I55" s="86">
        <f t="shared" si="18"/>
        <v>45602878</v>
      </c>
      <c r="J55" s="88">
        <f t="shared" si="18"/>
        <v>52749694.52</v>
      </c>
      <c r="K55" s="86" t="e">
        <f>+fin.zdroje!T68v</f>
        <v>#NAME?</v>
      </c>
      <c r="L55" s="86">
        <f aca="true" t="shared" si="19" ref="L55:S55">L40+L53</f>
        <v>51983794.4</v>
      </c>
      <c r="M55" s="86">
        <f t="shared" si="19"/>
        <v>55198784.620000005</v>
      </c>
      <c r="N55" s="86">
        <f t="shared" si="19"/>
        <v>46496040.1</v>
      </c>
      <c r="O55" s="86">
        <f t="shared" si="19"/>
        <v>57047939.32999999</v>
      </c>
      <c r="P55" s="86">
        <f t="shared" si="19"/>
        <v>45323692.3</v>
      </c>
      <c r="Q55" s="86">
        <f t="shared" si="19"/>
        <v>54273609.879999995</v>
      </c>
      <c r="R55" s="86">
        <f t="shared" si="19"/>
        <v>49350464.39999999</v>
      </c>
      <c r="S55" s="86">
        <f t="shared" si="19"/>
        <v>61607183.720000006</v>
      </c>
      <c r="T55" s="86">
        <v>57645956.74</v>
      </c>
      <c r="U55" s="86">
        <f>U40+U53</f>
        <v>67127796.87</v>
      </c>
      <c r="V55" s="86">
        <f>V40+V53</f>
        <v>60385629.2</v>
      </c>
      <c r="W55" s="86">
        <f>W40+W53</f>
        <v>71775193.11</v>
      </c>
      <c r="X55" s="86">
        <f>X40+X53</f>
        <v>68779788.3</v>
      </c>
      <c r="Y55" s="86">
        <v>73001998.6</v>
      </c>
    </row>
    <row r="56" spans="1:25" ht="13.5" thickBot="1">
      <c r="A56" s="6"/>
      <c r="B56" s="114"/>
      <c r="E56" s="58"/>
      <c r="I56" s="74"/>
      <c r="P56" s="2"/>
      <c r="Q56" s="2"/>
      <c r="R56" s="2"/>
      <c r="S56" s="2"/>
      <c r="T56" s="136"/>
      <c r="U56" s="136"/>
      <c r="V56" s="136"/>
      <c r="W56" s="136"/>
      <c r="X56" s="136"/>
      <c r="Y56" s="136"/>
    </row>
    <row r="57" spans="1:25" ht="12.75">
      <c r="A57" s="25" t="s">
        <v>54</v>
      </c>
      <c r="B57" s="116" t="s">
        <v>75</v>
      </c>
      <c r="C57" s="26"/>
      <c r="D57" s="27"/>
      <c r="E57" s="62">
        <f>1102431+15572</f>
        <v>1118003</v>
      </c>
      <c r="F57" s="59"/>
      <c r="G57" s="62">
        <f>939241+65641+10944.7</f>
        <v>1015826.7</v>
      </c>
      <c r="H57" s="71"/>
      <c r="I57" s="62">
        <f>1000227.4</f>
        <v>1000227.4</v>
      </c>
      <c r="J57" s="33"/>
      <c r="K57" s="33"/>
      <c r="L57" s="137">
        <f>5773926.7-2826.7</f>
        <v>5771100</v>
      </c>
      <c r="M57" s="69"/>
      <c r="N57" s="137">
        <f>815494</f>
        <v>815494</v>
      </c>
      <c r="O57" s="69"/>
      <c r="P57" s="137">
        <f>795189+200000</f>
        <v>995189</v>
      </c>
      <c r="Q57" s="69"/>
      <c r="R57" s="137">
        <v>795189</v>
      </c>
      <c r="S57" s="137"/>
      <c r="T57" s="137">
        <v>795189</v>
      </c>
      <c r="U57" s="137"/>
      <c r="V57" s="138">
        <v>1034661</v>
      </c>
      <c r="W57" s="138"/>
      <c r="X57" s="138">
        <v>973632</v>
      </c>
      <c r="Y57" s="138">
        <v>933032</v>
      </c>
    </row>
    <row r="58" spans="1:25" ht="12.75">
      <c r="A58" s="31">
        <v>8115</v>
      </c>
      <c r="B58" s="143" t="s">
        <v>76</v>
      </c>
      <c r="C58" s="60"/>
      <c r="D58" s="139"/>
      <c r="E58" s="63"/>
      <c r="F58" s="60"/>
      <c r="G58" s="63"/>
      <c r="H58" s="63"/>
      <c r="I58" s="63"/>
      <c r="J58" s="63"/>
      <c r="K58" s="63"/>
      <c r="L58" s="140"/>
      <c r="M58" s="141"/>
      <c r="N58" s="140">
        <v>0</v>
      </c>
      <c r="O58" s="141"/>
      <c r="P58" s="140">
        <v>0</v>
      </c>
      <c r="Q58" s="141"/>
      <c r="R58" s="140">
        <v>500000</v>
      </c>
      <c r="S58" s="140"/>
      <c r="T58" s="140">
        <v>500000</v>
      </c>
      <c r="U58" s="140"/>
      <c r="V58" s="142">
        <v>600000</v>
      </c>
      <c r="W58" s="142"/>
      <c r="X58" s="142">
        <v>2600000</v>
      </c>
      <c r="Y58" s="142">
        <v>1700000</v>
      </c>
    </row>
    <row r="59" spans="1:25" ht="12.75">
      <c r="A59" s="31">
        <v>8115</v>
      </c>
      <c r="B59" s="117" t="s">
        <v>51</v>
      </c>
      <c r="C59" s="32"/>
      <c r="D59" s="32"/>
      <c r="E59" s="63"/>
      <c r="F59" s="60"/>
      <c r="G59" s="63"/>
      <c r="H59" s="72"/>
      <c r="I59" s="63">
        <v>0</v>
      </c>
      <c r="J59" s="30"/>
      <c r="K59" s="30"/>
      <c r="L59" s="125">
        <v>0</v>
      </c>
      <c r="M59" s="30"/>
      <c r="N59" s="125">
        <f>1709930.6+52650</f>
        <v>1762580.6</v>
      </c>
      <c r="O59" s="30"/>
      <c r="P59" s="125">
        <v>0</v>
      </c>
      <c r="Q59" s="30"/>
      <c r="R59" s="125">
        <v>0</v>
      </c>
      <c r="S59" s="124"/>
      <c r="T59" s="124">
        <v>0</v>
      </c>
      <c r="U59" s="124"/>
      <c r="V59" s="124">
        <v>0</v>
      </c>
      <c r="W59" s="124"/>
      <c r="X59" s="124">
        <v>0</v>
      </c>
      <c r="Y59" s="124">
        <v>0</v>
      </c>
    </row>
    <row r="60" spans="1:25" ht="12.75">
      <c r="A60" s="31">
        <v>8115</v>
      </c>
      <c r="B60" s="117" t="s">
        <v>72</v>
      </c>
      <c r="C60" s="32"/>
      <c r="D60" s="32"/>
      <c r="E60" s="63"/>
      <c r="F60" s="60"/>
      <c r="G60" s="63"/>
      <c r="H60" s="72"/>
      <c r="I60" s="63">
        <v>13308.6</v>
      </c>
      <c r="J60" s="30"/>
      <c r="K60" s="30"/>
      <c r="L60" s="125">
        <v>2826.7</v>
      </c>
      <c r="M60" s="30"/>
      <c r="N60" s="125">
        <v>3055.5</v>
      </c>
      <c r="O60" s="30" t="s">
        <v>55</v>
      </c>
      <c r="P60" s="125">
        <v>7400</v>
      </c>
      <c r="Q60" s="30"/>
      <c r="R60" s="125">
        <v>4852.7</v>
      </c>
      <c r="S60" s="124"/>
      <c r="T60" s="124">
        <v>10075.3</v>
      </c>
      <c r="U60" s="124"/>
      <c r="V60" s="124">
        <v>10075.3</v>
      </c>
      <c r="W60" s="124"/>
      <c r="X60" s="124">
        <v>12875.3</v>
      </c>
      <c r="Y60" s="124">
        <v>28075.3</v>
      </c>
    </row>
    <row r="61" spans="1:25" ht="12.75">
      <c r="A61" s="31">
        <v>8115</v>
      </c>
      <c r="B61" s="117" t="s">
        <v>80</v>
      </c>
      <c r="C61" s="32"/>
      <c r="D61" s="32"/>
      <c r="E61" s="63"/>
      <c r="F61" s="60"/>
      <c r="G61" s="63"/>
      <c r="H61" s="72"/>
      <c r="I61" s="63"/>
      <c r="J61" s="30"/>
      <c r="K61" s="30"/>
      <c r="L61" s="125"/>
      <c r="M61" s="30"/>
      <c r="N61" s="125">
        <v>0</v>
      </c>
      <c r="O61" s="30"/>
      <c r="P61" s="125">
        <v>0</v>
      </c>
      <c r="Q61" s="30"/>
      <c r="R61" s="125">
        <v>0</v>
      </c>
      <c r="S61" s="124"/>
      <c r="T61" s="124">
        <v>0</v>
      </c>
      <c r="U61" s="124"/>
      <c r="V61" s="124">
        <v>0</v>
      </c>
      <c r="W61" s="124"/>
      <c r="X61" s="124">
        <v>0</v>
      </c>
      <c r="Y61" s="124">
        <v>2</v>
      </c>
    </row>
    <row r="62" spans="1:25" ht="12.75">
      <c r="A62" s="31" t="s">
        <v>50</v>
      </c>
      <c r="B62" s="117" t="s">
        <v>63</v>
      </c>
      <c r="C62" s="32"/>
      <c r="D62" s="32"/>
      <c r="E62" s="63">
        <v>29433589.9</v>
      </c>
      <c r="F62" s="60"/>
      <c r="G62" s="63">
        <v>31145183.4</v>
      </c>
      <c r="H62" s="72"/>
      <c r="I62" s="63">
        <v>28053405</v>
      </c>
      <c r="J62" s="30"/>
      <c r="K62" s="30"/>
      <c r="L62" s="125">
        <v>35143761</v>
      </c>
      <c r="M62" s="30"/>
      <c r="N62" s="125">
        <f>33708232.5+15865.8-624</f>
        <v>33723474.3</v>
      </c>
      <c r="O62" s="30"/>
      <c r="P62" s="125">
        <v>35039529.1</v>
      </c>
      <c r="Q62" s="30"/>
      <c r="R62" s="125">
        <v>37973595.4</v>
      </c>
      <c r="S62" s="124"/>
      <c r="T62" s="124">
        <v>40949814.1</v>
      </c>
      <c r="U62" s="124"/>
      <c r="V62" s="124">
        <f>41068253.8+188353.9</f>
        <v>41256607.699999996</v>
      </c>
      <c r="W62" s="124"/>
      <c r="X62" s="124">
        <f>44536165.6-9026</f>
        <v>44527139.6</v>
      </c>
      <c r="Y62" s="124">
        <v>48224421.6</v>
      </c>
    </row>
    <row r="63" spans="1:25" ht="12.75">
      <c r="A63" s="31">
        <v>5347</v>
      </c>
      <c r="B63" s="117" t="s">
        <v>64</v>
      </c>
      <c r="C63" s="32"/>
      <c r="D63" s="32"/>
      <c r="E63" s="63"/>
      <c r="F63" s="60"/>
      <c r="G63" s="63"/>
      <c r="H63" s="72"/>
      <c r="I63" s="63"/>
      <c r="J63" s="30"/>
      <c r="K63" s="30"/>
      <c r="L63" s="125">
        <v>0</v>
      </c>
      <c r="M63" s="30"/>
      <c r="N63" s="125">
        <v>0</v>
      </c>
      <c r="O63" s="30"/>
      <c r="P63" s="125">
        <v>0</v>
      </c>
      <c r="Q63" s="30"/>
      <c r="R63" s="125">
        <v>0</v>
      </c>
      <c r="S63" s="124"/>
      <c r="T63" s="124">
        <v>4233374.2</v>
      </c>
      <c r="U63" s="124"/>
      <c r="V63" s="130">
        <v>4774112.7</v>
      </c>
      <c r="W63" s="130"/>
      <c r="X63" s="124">
        <v>5015271</v>
      </c>
      <c r="Y63" s="124">
        <v>5339357</v>
      </c>
    </row>
    <row r="64" spans="1:25" ht="12.75">
      <c r="A64" s="31" t="s">
        <v>49</v>
      </c>
      <c r="B64" s="117" t="s">
        <v>57</v>
      </c>
      <c r="C64" s="32"/>
      <c r="D64" s="32"/>
      <c r="E64" s="63">
        <v>13254559.1</v>
      </c>
      <c r="F64" s="60"/>
      <c r="G64" s="63">
        <v>14790617.6</v>
      </c>
      <c r="H64" s="72"/>
      <c r="I64" s="63">
        <f>15554147+522.7+75180+282060+611550+13000</f>
        <v>16536459.7</v>
      </c>
      <c r="J64" s="30"/>
      <c r="K64" s="30"/>
      <c r="L64" s="125">
        <v>11266106.7</v>
      </c>
      <c r="M64" s="30"/>
      <c r="N64" s="125">
        <f>10190811.7+624</f>
        <v>10191435.7</v>
      </c>
      <c r="O64" s="30"/>
      <c r="P64" s="125">
        <v>9281574.2</v>
      </c>
      <c r="Q64" s="30"/>
      <c r="R64" s="125">
        <v>10076827.3</v>
      </c>
      <c r="S64" s="124"/>
      <c r="T64" s="124">
        <v>11157504.14</v>
      </c>
      <c r="U64" s="124"/>
      <c r="V64" s="129">
        <f>8070729.8+4639442.7</f>
        <v>12710172.5</v>
      </c>
      <c r="W64" s="129"/>
      <c r="X64" s="124">
        <v>15650870.4</v>
      </c>
      <c r="Y64" s="124">
        <v>16777110.7</v>
      </c>
    </row>
    <row r="65" spans="1:25" ht="13.5" thickBot="1">
      <c r="A65" s="28"/>
      <c r="B65" s="118" t="s">
        <v>37</v>
      </c>
      <c r="C65" s="29"/>
      <c r="D65" s="29"/>
      <c r="E65" s="64">
        <f>E55-E57-E62-E64</f>
        <v>-15756.700000001118</v>
      </c>
      <c r="F65" s="61"/>
      <c r="G65" s="64">
        <f>G55-G57-G62-G64</f>
        <v>-522.7000000011176</v>
      </c>
      <c r="H65" s="73"/>
      <c r="I65" s="115">
        <f>I55-I57-I59-I60-I62-I64</f>
        <v>-522.6999999992549</v>
      </c>
      <c r="J65" s="115"/>
      <c r="K65" s="115"/>
      <c r="L65" s="126">
        <f>L55-L57-L59-L60-L62-L63-L64</f>
        <v>-200000.00000000373</v>
      </c>
      <c r="M65" s="115"/>
      <c r="N65" s="126">
        <f>N55-N57-N58-N59-N60-N62-N63-N64</f>
        <v>0</v>
      </c>
      <c r="O65" s="115"/>
      <c r="P65" s="126">
        <f>P55-P57-P58-P59-P60-P62-P63-P64</f>
        <v>0</v>
      </c>
      <c r="Q65" s="115"/>
      <c r="R65" s="126">
        <f>R55-R57-R58-R59-R60-R62-R63-R64</f>
        <v>0</v>
      </c>
      <c r="S65" s="126"/>
      <c r="T65" s="126">
        <f>T55-T57-T58-T59-T60-T62-T63-T64</f>
        <v>0</v>
      </c>
      <c r="U65" s="126"/>
      <c r="V65" s="126">
        <f>V55-V57-V58-V59-V60-V62-V63-V64</f>
        <v>0</v>
      </c>
      <c r="W65" s="126"/>
      <c r="X65" s="131">
        <f>X55-X57-X58-X59-X60-X62-X63-X64</f>
        <v>0</v>
      </c>
      <c r="Y65" s="131">
        <v>9.96274709701538E-07</v>
      </c>
    </row>
    <row r="66" spans="1:15" ht="12.75">
      <c r="A66" s="75" t="s">
        <v>70</v>
      </c>
      <c r="B66" s="75"/>
      <c r="C66" s="76"/>
      <c r="D66" s="76"/>
      <c r="E66" s="76"/>
      <c r="F66" s="76"/>
      <c r="G66" s="77"/>
      <c r="H66" s="77"/>
      <c r="I66" s="77"/>
      <c r="J66" s="77"/>
      <c r="K66" s="77"/>
      <c r="L66" s="77"/>
      <c r="M66" s="77"/>
      <c r="N66" s="77"/>
      <c r="O66" s="77"/>
    </row>
    <row r="67" spans="1:23" ht="12.75">
      <c r="A67" s="91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0"/>
      <c r="M67" s="90"/>
      <c r="N67" s="119"/>
      <c r="O67" s="119"/>
      <c r="V67" s="127"/>
      <c r="W67" s="127"/>
    </row>
    <row r="68" spans="1:23" ht="12.75">
      <c r="A68" s="91"/>
      <c r="B68" s="91"/>
      <c r="C68" s="92"/>
      <c r="D68" s="92"/>
      <c r="E68" s="92"/>
      <c r="F68" s="92"/>
      <c r="G68" s="93"/>
      <c r="H68" s="93"/>
      <c r="I68" s="93"/>
      <c r="J68" s="93"/>
      <c r="K68" s="93"/>
      <c r="L68" s="93"/>
      <c r="M68" s="93"/>
      <c r="N68" s="93"/>
      <c r="O68" s="93"/>
      <c r="V68" s="128"/>
      <c r="W68" s="128"/>
    </row>
    <row r="69" spans="1:15" ht="12.75">
      <c r="A69" s="91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6" spans="2:6" ht="12.75">
      <c r="B76" s="40"/>
      <c r="C76" s="41"/>
      <c r="D76" s="41"/>
      <c r="E76" s="41"/>
      <c r="F76" s="42"/>
    </row>
  </sheetData>
  <sheetProtection/>
  <mergeCells count="3">
    <mergeCell ref="A3:K3"/>
    <mergeCell ref="A4:A5"/>
    <mergeCell ref="B4:B5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2017-11-30T10:41:03Z</cp:lastPrinted>
  <dcterms:created xsi:type="dcterms:W3CDTF">2003-08-21T12:59:42Z</dcterms:created>
  <dcterms:modified xsi:type="dcterms:W3CDTF">2017-11-30T10:41:09Z</dcterms:modified>
  <cp:category/>
  <cp:version/>
  <cp:contentType/>
  <cp:contentStatus/>
</cp:coreProperties>
</file>