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  <definedName name="_xlnm.Print_Area" localSheetId="0">'MČ 1-57'!$A$1:$BH$66</definedName>
  </definedNames>
  <calcPr fullCalcOnLoad="1"/>
</workbook>
</file>

<file path=xl/comments1.xml><?xml version="1.0" encoding="utf-8"?>
<comments xmlns="http://schemas.openxmlformats.org/spreadsheetml/2006/main">
  <authors>
    <author>Čerstvá Martina (MHMP, ROZ)</author>
  </authors>
  <commentList>
    <comment ref="W63" authorId="0">
      <text>
        <r>
          <rPr>
            <b/>
            <sz val="9"/>
            <rFont val="Tahoma"/>
            <family val="2"/>
          </rPr>
          <t>Čerstvá Martina (MHMP, ROZ):</t>
        </r>
        <r>
          <rPr>
            <sz val="9"/>
            <rFont val="Tahoma"/>
            <family val="2"/>
          </rPr>
          <t xml:space="preserve">
pokuta sběrný dvůr</t>
        </r>
      </text>
    </comment>
  </commentList>
</comments>
</file>

<file path=xl/sharedStrings.xml><?xml version="1.0" encoding="utf-8"?>
<sst xmlns="http://schemas.openxmlformats.org/spreadsheetml/2006/main" count="134" uniqueCount="129">
  <si>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</si>
  <si>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</si>
  <si>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</si>
  <si>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</si>
  <si>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</si>
  <si>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</si>
  <si>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</si>
  <si>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</si>
  <si>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</si>
  <si>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</si>
  <si>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</si>
  <si>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</si>
  <si>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</si>
  <si>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</si>
  <si>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</si>
  <si>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</si>
  <si>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</si>
  <si>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</si>
  <si>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</si>
  <si>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</si>
  <si>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</si>
  <si>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</si>
  <si>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</si>
  <si>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</si>
  <si>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</si>
  <si>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</si>
  <si>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</si>
  <si>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</si>
  <si>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</si>
  <si>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</si>
  <si>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</si>
  <si>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</si>
  <si>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</si>
  <si>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</si>
  <si>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</si>
  <si>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</si>
  <si>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</si>
  <si>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</si>
  <si>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</si>
  <si>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</si>
  <si>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</si>
  <si>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</si>
  <si>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</si>
  <si>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</si>
  <si>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</si>
  <si>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</si>
  <si>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</si>
  <si>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</si>
  <si>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</si>
  <si>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</si>
  <si>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</si>
  <si>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</si>
  <si>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</si>
  <si>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</si>
  <si>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</si>
  <si>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</si>
  <si>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</si>
  <si>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</si>
  <si>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</si>
  <si>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</si>
  <si>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</si>
  <si>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</si>
  <si>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</si>
  <si>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</si>
  <si>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</si>
  <si>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</si>
  <si>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</si>
  <si>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</si>
  <si>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</si>
  <si>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</si>
  <si>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</si>
  <si>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</si>
  <si>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</si>
  <si>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</si>
  <si>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</si>
  <si>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</si>
  <si>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</si>
  <si>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doplatky místních poplatků</t>
  </si>
  <si>
    <t>Dorovnání dotací ze SR  c e l k e m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</si>
  <si>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</si>
  <si>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</si>
  <si>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</si>
  <si>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</si>
  <si>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</si>
  <si>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</si>
  <si>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</si>
  <si>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 xml:space="preserve">            přeplatky místních poplatků</t>
  </si>
  <si>
    <t>výkon pěstounské péče  ÚZ 13010</t>
  </si>
  <si>
    <t>ostatní doplatky</t>
  </si>
  <si>
    <t>ostatní vratky</t>
  </si>
  <si>
    <t>1.</t>
  </si>
  <si>
    <t>2.</t>
  </si>
  <si>
    <t>Úhrn potřeb (ř.4 a ř.5)</t>
  </si>
  <si>
    <t>Úhrn zdrojů fin. vypořádání   (ř.1 a ř.2)</t>
  </si>
  <si>
    <t>Saldo FV (ř.3 - ř.6)</t>
  </si>
  <si>
    <t>Saldo státních prostředků (ř.1 - ř.4)</t>
  </si>
  <si>
    <t>Saldo prostředků MHMP (ř. 2 - ř.5)</t>
  </si>
  <si>
    <t>dot.pro obce s působ.st.úřadu - SLDB 2021 ÚZ 98018</t>
  </si>
  <si>
    <t>zkoušky zvláštní odborné způsobilosti ÚZ 81</t>
  </si>
  <si>
    <t xml:space="preserve">vratka nedočerp.dotace poskytnuté městskou částí hl.m. Praze-neinvestiční  ÚZ 79                                                                                                                                              </t>
  </si>
  <si>
    <t xml:space="preserve">vratka nedočerp.dotace poskytnuté městskou částí hl.m. Praze-investiční  ÚZ 79                                                                                                                                             </t>
  </si>
  <si>
    <t>participativní rozpočty - neinvestiční výdaje  ÚZ 109</t>
  </si>
  <si>
    <t>participativní rozpočty - investiční výdaje  ÚZ 119</t>
  </si>
  <si>
    <t>sociálněprávní ochrana dětí  ÚZ 13011</t>
  </si>
  <si>
    <t>projekty OP VVV, MAP  ÚZ 33063</t>
  </si>
  <si>
    <t>ostatní vratky účel.prostř. rezort. min./st.fondům neinv.</t>
  </si>
  <si>
    <t>ostatní vratky účel.prostř. rezort. min./st.fondům inv.</t>
  </si>
  <si>
    <t>volby do 1/3 Senátu PČR  ÚZ 98193</t>
  </si>
  <si>
    <t>vratky ostat.účel.prostř. MF ČR-kap.VPS ÚZ 98xxx</t>
  </si>
  <si>
    <t xml:space="preserve">         vratky účel. prostř. r. 2020 investiční  ÚZ 84</t>
  </si>
  <si>
    <t xml:space="preserve">         vratky účel. prostř. r. 2020 investiční granty ÚZ 116</t>
  </si>
  <si>
    <t xml:space="preserve">         vratky účel. prostř. r. 2020 investiční FRDB  ÚZ 12</t>
  </si>
  <si>
    <t xml:space="preserve">         vratky účel. prostř. r. 2020 neinvestiční FRDB  ÚZ 12</t>
  </si>
  <si>
    <t xml:space="preserve">         vratky účel. prostř. r. 2020  neinvestiční  ÚZ 81</t>
  </si>
  <si>
    <t xml:space="preserve">         vratky účel. prostř. r. 2020  neinv. mzd.pr.školy  ÚZ 96</t>
  </si>
  <si>
    <t xml:space="preserve">         vratky účel. prostř. r. 2020  neinv.výuka ČJ  ÚZ 108</t>
  </si>
  <si>
    <t xml:space="preserve">         vratky účel. prostř. r. 2020  neinvestiční granty  ÚZ 115</t>
  </si>
  <si>
    <t>vratky účel.prostř. r. 2018 a 2019 u nichž je vyúčtování stanoveno na r. 2020 (inv.granty) ÚZ 116</t>
  </si>
  <si>
    <t>vratky účel.prostř. r. 2018 a 2019 u nichž je vyúčtování stanoveno na r. 2020 (neinv.granty) ÚZ 115</t>
  </si>
  <si>
    <t xml:space="preserve">         vratky účel. prostředků na opatření v souvislosti s šířením nového typu koronaviru - MČ - neinv. ÚZ 127</t>
  </si>
  <si>
    <t xml:space="preserve">         vratky účel. prostředků na opatření v souvislosti s šířením nového typu koronaviru - MČ - inv. ÚZ 127</t>
  </si>
  <si>
    <t xml:space="preserve">         vratky účel. prostředků na zachování, obnovu a rozvoj činností v souvislosti s  pandemií nemoci COVID - neinv. ÚZ 130</t>
  </si>
  <si>
    <t xml:space="preserve">         vratky účel. prostředků na zachování, obnovu a rozvoj činností v souvislosti s pandemií nemoci COVID - inv. ÚZ 130</t>
  </si>
  <si>
    <t>ZA ROK 2021 S MČ HL. M. PRAHY</t>
  </si>
  <si>
    <t>participativní rozpočty - pilotní projekt inv. výdaje ÚZ 141</t>
  </si>
  <si>
    <t>participativní rozpočty - pilotní projekt neinv. výdaje ÚZ 140</t>
  </si>
  <si>
    <t>vratky účel. prostř.r.2019 (popř.předchozích let) inv. ÚZ 90</t>
  </si>
  <si>
    <t>vratky účel. prostř.r.2019 (popř.předchozích let) neinv. ÚZ 118</t>
  </si>
  <si>
    <t>Příloha č. 8 k usnesení Zastupitelstva HMP č. 28/42 ze dne 17. 6.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</si>
</sst>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</numFmts>
  <fonts count="4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3" fontId="0" fillId="0" borderId="26" xfId="0" applyNumberFormat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49" fontId="8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3" fillId="0" borderId="16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wrapText="1" indent="3"/>
    </xf>
    <xf numFmtId="49" fontId="3" fillId="0" borderId="14" xfId="0" applyNumberFormat="1" applyFont="1" applyBorder="1" applyAlignment="1">
      <alignment horizontal="left" wrapText="1" indent="3"/>
    </xf>
    <xf numFmtId="49" fontId="3" fillId="0" borderId="14" xfId="0" applyNumberFormat="1" applyFont="1" applyBorder="1" applyAlignment="1">
      <alignment horizontal="left" indent="3"/>
    </xf>
    <xf numFmtId="49" fontId="9" fillId="0" borderId="22" xfId="0" applyNumberFormat="1" applyFont="1" applyBorder="1" applyAlignment="1">
      <alignment/>
    </xf>
    <xf numFmtId="4" fontId="0" fillId="0" borderId="21" xfId="0" applyNumberFormat="1" applyFill="1" applyBorder="1" applyAlignment="1">
      <alignment wrapText="1"/>
    </xf>
    <xf numFmtId="0" fontId="2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" sqref="B3"/>
    </sheetView>
  </sheetViews>
  <sheetFormatPr defaultColWidth="9.00390625" defaultRowHeight="12.75"/>
  <cols>
    <col min="1" max="1" width="4.00390625" style="0" customWidth="1"/>
    <col min="2" max="2" width="52.875" style="77" customWidth="1"/>
    <col min="3" max="3" width="15.87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5.00390625" style="3" customWidth="1"/>
    <col min="9" max="10" width="14.375" style="3" customWidth="1"/>
    <col min="11" max="11" width="15.125" style="3" customWidth="1"/>
    <col min="12" max="12" width="14.00390625" style="3" customWidth="1"/>
    <col min="13" max="13" width="17.625" style="3" customWidth="1"/>
    <col min="14" max="14" width="14.375" style="3" customWidth="1"/>
    <col min="15" max="15" width="14.875" style="3" customWidth="1"/>
    <col min="16" max="16" width="15.375" style="3" customWidth="1"/>
    <col min="17" max="17" width="14.00390625" style="3" bestFit="1" customWidth="1"/>
    <col min="18" max="18" width="15.375" style="3" customWidth="1"/>
    <col min="19" max="22" width="14.875" style="3" customWidth="1"/>
    <col min="23" max="23" width="13.75390625" style="3" customWidth="1"/>
    <col min="24" max="24" width="14.00390625" style="3" bestFit="1" customWidth="1"/>
    <col min="25" max="25" width="14.625" style="3" customWidth="1"/>
    <col min="26" max="26" width="13.625" style="3" customWidth="1"/>
    <col min="27" max="27" width="12.75390625" style="3" customWidth="1"/>
    <col min="28" max="28" width="13.625" style="3" customWidth="1"/>
    <col min="29" max="29" width="14.875" style="3" customWidth="1"/>
    <col min="30" max="30" width="14.125" style="3" customWidth="1"/>
    <col min="31" max="31" width="14.625" style="3" customWidth="1"/>
    <col min="32" max="33" width="14.125" style="3" customWidth="1"/>
    <col min="34" max="34" width="14.25390625" style="3" customWidth="1"/>
    <col min="35" max="35" width="13.875" style="3" customWidth="1"/>
    <col min="36" max="37" width="14.625" style="3" customWidth="1"/>
    <col min="38" max="38" width="15.62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5.25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3.6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5" width="10.75390625" style="0" customWidth="1"/>
  </cols>
  <sheetData>
    <row r="1" spans="1:2" ht="15.75">
      <c r="A1" s="117" t="s">
        <v>128</v>
      </c>
      <c r="B1" s="67"/>
    </row>
    <row r="2" ht="12.75">
      <c r="O2" s="61"/>
    </row>
    <row r="3" spans="2:60" ht="12.75">
      <c r="B3" s="68" t="s">
        <v>70</v>
      </c>
      <c r="C3" s="1"/>
      <c r="D3" s="95"/>
      <c r="H3" s="2"/>
      <c r="K3" s="4"/>
      <c r="L3" s="2"/>
      <c r="O3" s="61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69" t="s">
        <v>123</v>
      </c>
      <c r="C4" s="1"/>
      <c r="D4" s="95"/>
      <c r="H4" s="95"/>
      <c r="J4" s="61"/>
      <c r="K4" s="4"/>
      <c r="L4" s="2"/>
      <c r="M4" s="61"/>
      <c r="O4" s="61"/>
      <c r="P4" s="2"/>
      <c r="Q4" s="61"/>
      <c r="R4" s="61"/>
      <c r="T4" s="2"/>
      <c r="X4" s="2"/>
      <c r="Y4" s="61"/>
      <c r="AB4" s="2"/>
      <c r="AC4" s="61"/>
      <c r="AF4" s="2"/>
      <c r="AJ4" s="95"/>
      <c r="AN4" s="2"/>
      <c r="AO4" s="61"/>
      <c r="AR4" s="95"/>
      <c r="AV4" s="2"/>
      <c r="AX4" s="61"/>
      <c r="AZ4" s="2"/>
      <c r="BA4" s="96"/>
      <c r="BD4" s="2"/>
      <c r="BH4" s="2"/>
    </row>
    <row r="5" spans="2:60" ht="12.75">
      <c r="B5" s="69"/>
      <c r="C5" s="1"/>
      <c r="D5" s="95"/>
      <c r="E5" s="61"/>
      <c r="F5" s="61"/>
      <c r="G5" s="61"/>
      <c r="H5" s="95"/>
      <c r="I5" s="61"/>
      <c r="J5" s="61"/>
      <c r="K5" s="4"/>
      <c r="L5" s="95"/>
      <c r="M5" s="61"/>
      <c r="O5" s="61"/>
      <c r="P5" s="2"/>
      <c r="Q5" s="61"/>
      <c r="R5" s="61"/>
      <c r="S5" s="61"/>
      <c r="T5" s="2"/>
      <c r="X5" s="2"/>
      <c r="Y5" s="61"/>
      <c r="AB5" s="2"/>
      <c r="AE5" s="61"/>
      <c r="AF5" s="2"/>
      <c r="AH5" s="61"/>
      <c r="AJ5" s="95"/>
      <c r="AN5" s="2"/>
      <c r="AR5" s="2"/>
      <c r="AS5" s="61"/>
      <c r="AU5" s="61"/>
      <c r="AV5" s="2"/>
      <c r="AY5" s="61"/>
      <c r="AZ5" s="95"/>
      <c r="BD5" s="2"/>
      <c r="BH5" s="95"/>
    </row>
    <row r="6" spans="2:60" ht="13.5" thickBot="1">
      <c r="B6" s="70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1:70" ht="12.75">
      <c r="A7" s="5" t="s">
        <v>0</v>
      </c>
      <c r="B7" s="71" t="s">
        <v>1</v>
      </c>
      <c r="C7" s="6" t="s">
        <v>71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93">
        <v>13</v>
      </c>
      <c r="Q7" s="93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83">
        <v>26</v>
      </c>
      <c r="AD7" s="83">
        <v>27</v>
      </c>
      <c r="AE7" s="6">
        <v>28</v>
      </c>
      <c r="AF7" s="6">
        <v>29</v>
      </c>
      <c r="AG7" s="6">
        <v>30</v>
      </c>
      <c r="AH7" s="6">
        <v>31</v>
      </c>
      <c r="AI7" s="6">
        <v>32</v>
      </c>
      <c r="AJ7" s="6">
        <v>33</v>
      </c>
      <c r="AK7" s="6">
        <v>34</v>
      </c>
      <c r="AL7" s="6">
        <v>35</v>
      </c>
      <c r="AM7" s="6">
        <v>36</v>
      </c>
      <c r="AN7" s="6">
        <v>37</v>
      </c>
      <c r="AO7" s="6">
        <v>38</v>
      </c>
      <c r="AP7" s="6">
        <v>39</v>
      </c>
      <c r="AQ7" s="6">
        <v>40</v>
      </c>
      <c r="AR7" s="6">
        <v>41</v>
      </c>
      <c r="AS7" s="6">
        <v>42</v>
      </c>
      <c r="AT7" s="6">
        <v>43</v>
      </c>
      <c r="AU7" s="6">
        <v>44</v>
      </c>
      <c r="AV7" s="6">
        <v>45</v>
      </c>
      <c r="AW7" s="7">
        <v>46</v>
      </c>
      <c r="AX7" s="6">
        <v>47</v>
      </c>
      <c r="AY7" s="6">
        <v>48</v>
      </c>
      <c r="AZ7" s="6">
        <v>49</v>
      </c>
      <c r="BA7" s="6">
        <v>50</v>
      </c>
      <c r="BB7" s="6">
        <v>51</v>
      </c>
      <c r="BC7" s="6">
        <v>52</v>
      </c>
      <c r="BD7" s="6">
        <v>53</v>
      </c>
      <c r="BE7" s="6">
        <v>54</v>
      </c>
      <c r="BF7" s="6">
        <v>55</v>
      </c>
      <c r="BG7" s="6">
        <v>56</v>
      </c>
      <c r="BH7" s="6">
        <v>57</v>
      </c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ht="13.5" thickBot="1">
      <c r="A8" s="9" t="s">
        <v>2</v>
      </c>
      <c r="B8" s="72"/>
      <c r="C8" s="10" t="s">
        <v>72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84" t="s">
        <v>12</v>
      </c>
      <c r="N8" s="10" t="s">
        <v>13</v>
      </c>
      <c r="O8" s="81" t="s">
        <v>14</v>
      </c>
      <c r="P8" s="81" t="s">
        <v>15</v>
      </c>
      <c r="Q8" s="81" t="s">
        <v>16</v>
      </c>
      <c r="R8" s="10" t="s">
        <v>17</v>
      </c>
      <c r="S8" s="10" t="s">
        <v>18</v>
      </c>
      <c r="T8" s="10" t="s">
        <v>19</v>
      </c>
      <c r="U8" s="10" t="s">
        <v>20</v>
      </c>
      <c r="V8" s="10" t="s">
        <v>21</v>
      </c>
      <c r="W8" s="10" t="s">
        <v>22</v>
      </c>
      <c r="X8" s="10" t="s">
        <v>23</v>
      </c>
      <c r="Y8" s="10" t="s">
        <v>24</v>
      </c>
      <c r="Z8" s="10" t="s">
        <v>25</v>
      </c>
      <c r="AA8" s="10" t="s">
        <v>26</v>
      </c>
      <c r="AB8" s="10" t="s">
        <v>27</v>
      </c>
      <c r="AC8" s="84" t="s">
        <v>28</v>
      </c>
      <c r="AD8" s="84" t="s">
        <v>29</v>
      </c>
      <c r="AE8" s="10" t="s">
        <v>30</v>
      </c>
      <c r="AF8" s="10" t="s">
        <v>31</v>
      </c>
      <c r="AG8" s="10" t="s">
        <v>32</v>
      </c>
      <c r="AH8" s="10" t="s">
        <v>33</v>
      </c>
      <c r="AI8" s="10" t="s">
        <v>34</v>
      </c>
      <c r="AJ8" s="10" t="s">
        <v>35</v>
      </c>
      <c r="AK8" s="10" t="s">
        <v>36</v>
      </c>
      <c r="AL8" s="10" t="s">
        <v>37</v>
      </c>
      <c r="AM8" s="10" t="s">
        <v>38</v>
      </c>
      <c r="AN8" s="10" t="s">
        <v>39</v>
      </c>
      <c r="AO8" s="10" t="s">
        <v>40</v>
      </c>
      <c r="AP8" s="10" t="s">
        <v>41</v>
      </c>
      <c r="AQ8" s="10" t="s">
        <v>42</v>
      </c>
      <c r="AR8" s="10" t="s">
        <v>43</v>
      </c>
      <c r="AS8" s="10" t="s">
        <v>44</v>
      </c>
      <c r="AT8" s="10" t="s">
        <v>45</v>
      </c>
      <c r="AU8" s="10" t="s">
        <v>46</v>
      </c>
      <c r="AV8" s="10" t="s">
        <v>47</v>
      </c>
      <c r="AW8" s="11" t="s">
        <v>48</v>
      </c>
      <c r="AX8" s="10" t="s">
        <v>49</v>
      </c>
      <c r="AY8" s="10" t="s">
        <v>50</v>
      </c>
      <c r="AZ8" s="10" t="s">
        <v>51</v>
      </c>
      <c r="BA8" s="10" t="s">
        <v>52</v>
      </c>
      <c r="BB8" s="10" t="s">
        <v>53</v>
      </c>
      <c r="BC8" s="10" t="s">
        <v>54</v>
      </c>
      <c r="BD8" s="10" t="s">
        <v>55</v>
      </c>
      <c r="BE8" s="10" t="s">
        <v>56</v>
      </c>
      <c r="BF8" s="10" t="s">
        <v>57</v>
      </c>
      <c r="BG8" s="84" t="s">
        <v>58</v>
      </c>
      <c r="BH8" s="10" t="s">
        <v>59</v>
      </c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60" ht="13.5" thickTop="1">
      <c r="A9" s="12"/>
      <c r="B9" s="7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86"/>
      <c r="BH9" s="14"/>
    </row>
    <row r="10" spans="1:60" ht="12.75">
      <c r="A10" s="20"/>
      <c r="B10" s="97" t="s">
        <v>60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87"/>
      <c r="BH10" s="22"/>
    </row>
    <row r="11" spans="1:60" ht="12.75">
      <c r="A11" s="15"/>
      <c r="B11" s="98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88"/>
      <c r="BH11" s="17"/>
    </row>
    <row r="12" spans="1:67" s="25" customFormat="1" ht="12.75">
      <c r="A12" s="23" t="s">
        <v>90</v>
      </c>
      <c r="B12" s="97" t="s">
        <v>78</v>
      </c>
      <c r="C12" s="16">
        <f>SUM(D12:BH12)</f>
        <v>3000492.56</v>
      </c>
      <c r="D12" s="24">
        <f aca="true" t="shared" si="0" ref="D12:AI12">SUM(D13:D15)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766423.47</v>
      </c>
      <c r="I12" s="24">
        <f t="shared" si="0"/>
        <v>193978.42</v>
      </c>
      <c r="J12" s="24">
        <f t="shared" si="0"/>
        <v>0</v>
      </c>
      <c r="K12" s="24">
        <f t="shared" si="0"/>
        <v>0</v>
      </c>
      <c r="L12" s="24">
        <f t="shared" si="0"/>
        <v>1382763.73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499866.04</v>
      </c>
      <c r="R12" s="24">
        <f t="shared" si="0"/>
        <v>0</v>
      </c>
      <c r="S12" s="24">
        <f t="shared" si="0"/>
        <v>0</v>
      </c>
      <c r="T12" s="24">
        <f t="shared" si="0"/>
        <v>0</v>
      </c>
      <c r="U12" s="24">
        <f t="shared" si="0"/>
        <v>0</v>
      </c>
      <c r="V12" s="24">
        <f t="shared" si="0"/>
        <v>50000</v>
      </c>
      <c r="W12" s="24">
        <f t="shared" si="0"/>
        <v>87223.55</v>
      </c>
      <c r="X12" s="24">
        <f t="shared" si="0"/>
        <v>0</v>
      </c>
      <c r="Y12" s="24">
        <f t="shared" si="0"/>
        <v>0</v>
      </c>
      <c r="Z12" s="24">
        <f t="shared" si="0"/>
        <v>20237.35</v>
      </c>
      <c r="AA12" s="24">
        <f t="shared" si="0"/>
        <v>0</v>
      </c>
      <c r="AB12" s="24">
        <f t="shared" si="0"/>
        <v>0</v>
      </c>
      <c r="AC12" s="24">
        <f t="shared" si="0"/>
        <v>0</v>
      </c>
      <c r="AD12" s="24">
        <f t="shared" si="0"/>
        <v>0</v>
      </c>
      <c r="AE12" s="24">
        <f t="shared" si="0"/>
        <v>0</v>
      </c>
      <c r="AF12" s="24">
        <f t="shared" si="0"/>
        <v>0</v>
      </c>
      <c r="AG12" s="24">
        <f t="shared" si="0"/>
        <v>0</v>
      </c>
      <c r="AH12" s="24">
        <f t="shared" si="0"/>
        <v>0</v>
      </c>
      <c r="AI12" s="24">
        <f t="shared" si="0"/>
        <v>0</v>
      </c>
      <c r="AJ12" s="24">
        <f aca="true" t="shared" si="1" ref="AJ12:BH12">SUM(AJ13:AJ15)</f>
        <v>0</v>
      </c>
      <c r="AK12" s="24">
        <f t="shared" si="1"/>
        <v>0</v>
      </c>
      <c r="AL12" s="24">
        <f t="shared" si="1"/>
        <v>0</v>
      </c>
      <c r="AM12" s="24">
        <f t="shared" si="1"/>
        <v>0</v>
      </c>
      <c r="AN12" s="24">
        <f t="shared" si="1"/>
        <v>0</v>
      </c>
      <c r="AO12" s="24">
        <f t="shared" si="1"/>
        <v>0</v>
      </c>
      <c r="AP12" s="24">
        <f t="shared" si="1"/>
        <v>0</v>
      </c>
      <c r="AQ12" s="24">
        <f t="shared" si="1"/>
        <v>0</v>
      </c>
      <c r="AR12" s="24">
        <f t="shared" si="1"/>
        <v>0</v>
      </c>
      <c r="AS12" s="24">
        <f t="shared" si="1"/>
        <v>0</v>
      </c>
      <c r="AT12" s="24">
        <f t="shared" si="1"/>
        <v>0</v>
      </c>
      <c r="AU12" s="24">
        <f t="shared" si="1"/>
        <v>0</v>
      </c>
      <c r="AV12" s="24">
        <f t="shared" si="1"/>
        <v>0</v>
      </c>
      <c r="AW12" s="24">
        <f t="shared" si="1"/>
        <v>0</v>
      </c>
      <c r="AX12" s="24">
        <f t="shared" si="1"/>
        <v>0</v>
      </c>
      <c r="AY12" s="24">
        <f t="shared" si="1"/>
        <v>0</v>
      </c>
      <c r="AZ12" s="24">
        <f t="shared" si="1"/>
        <v>0</v>
      </c>
      <c r="BA12" s="24">
        <f t="shared" si="1"/>
        <v>0</v>
      </c>
      <c r="BB12" s="24">
        <f t="shared" si="1"/>
        <v>0</v>
      </c>
      <c r="BC12" s="24">
        <f t="shared" si="1"/>
        <v>0</v>
      </c>
      <c r="BD12" s="24">
        <f t="shared" si="1"/>
        <v>0</v>
      </c>
      <c r="BE12" s="24">
        <f t="shared" si="1"/>
        <v>0</v>
      </c>
      <c r="BF12" s="24">
        <f t="shared" si="1"/>
        <v>0</v>
      </c>
      <c r="BG12" s="89">
        <f t="shared" si="1"/>
        <v>0</v>
      </c>
      <c r="BH12" s="24">
        <f t="shared" si="1"/>
        <v>0</v>
      </c>
      <c r="BI12" s="59"/>
      <c r="BJ12" s="60"/>
      <c r="BK12" s="60"/>
      <c r="BL12" s="60"/>
      <c r="BM12" s="60"/>
      <c r="BN12" s="60"/>
      <c r="BO12" s="60"/>
    </row>
    <row r="13" spans="1:63" ht="12.75">
      <c r="A13" s="26"/>
      <c r="B13" s="99" t="s">
        <v>85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88"/>
      <c r="BH13" s="17"/>
      <c r="BK13" s="60"/>
    </row>
    <row r="14" spans="1:63" ht="12.75">
      <c r="A14" s="27"/>
      <c r="B14" s="66" t="s">
        <v>107</v>
      </c>
      <c r="C14" s="16">
        <f>SUM(D14:BH14)</f>
        <v>3000492.56</v>
      </c>
      <c r="D14" s="22">
        <v>0</v>
      </c>
      <c r="E14" s="22">
        <v>0</v>
      </c>
      <c r="F14" s="22">
        <v>0</v>
      </c>
      <c r="G14" s="22">
        <v>0</v>
      </c>
      <c r="H14" s="22">
        <v>766423.47</v>
      </c>
      <c r="I14" s="22">
        <v>193978.42</v>
      </c>
      <c r="J14" s="22">
        <v>0</v>
      </c>
      <c r="K14" s="22">
        <v>0</v>
      </c>
      <c r="L14" s="22">
        <v>1382763.73</v>
      </c>
      <c r="M14" s="22">
        <v>0</v>
      </c>
      <c r="N14" s="22">
        <v>0</v>
      </c>
      <c r="O14" s="22">
        <v>0</v>
      </c>
      <c r="P14" s="22">
        <v>0</v>
      </c>
      <c r="Q14" s="22">
        <v>499866.04</v>
      </c>
      <c r="R14" s="22">
        <v>0</v>
      </c>
      <c r="S14" s="22">
        <v>0</v>
      </c>
      <c r="T14" s="22">
        <v>0</v>
      </c>
      <c r="U14" s="22">
        <v>0</v>
      </c>
      <c r="V14" s="22">
        <v>50000</v>
      </c>
      <c r="W14" s="22">
        <v>87223.55</v>
      </c>
      <c r="X14" s="22">
        <v>0</v>
      </c>
      <c r="Y14" s="22">
        <v>0</v>
      </c>
      <c r="Z14" s="22">
        <v>20237.35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87">
        <v>0</v>
      </c>
      <c r="BH14" s="22">
        <v>0</v>
      </c>
      <c r="BK14" s="60"/>
    </row>
    <row r="15" spans="1:63" ht="12.75">
      <c r="A15" s="27"/>
      <c r="B15" s="66" t="s">
        <v>97</v>
      </c>
      <c r="C15" s="16">
        <f>SUM(D15:BH15)</f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87">
        <v>0</v>
      </c>
      <c r="BH15" s="22">
        <v>0</v>
      </c>
      <c r="BK15" s="60"/>
    </row>
    <row r="16" spans="1:63" ht="12.75">
      <c r="A16" s="27"/>
      <c r="B16" s="66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87"/>
      <c r="BH16" s="22"/>
      <c r="BK16" s="60"/>
    </row>
    <row r="17" spans="1:63" s="25" customFormat="1" ht="12.75">
      <c r="A17" s="28" t="s">
        <v>91</v>
      </c>
      <c r="B17" s="100" t="s">
        <v>63</v>
      </c>
      <c r="C17" s="16">
        <f>SUM(D17:BH17)</f>
        <v>19321372.55</v>
      </c>
      <c r="D17" s="21">
        <f>SUM(D19:D27)</f>
        <v>750000</v>
      </c>
      <c r="E17" s="21">
        <f aca="true" t="shared" si="2" ref="E17:AI17">SUM(E19:E27)</f>
        <v>0</v>
      </c>
      <c r="F17" s="21">
        <f t="shared" si="2"/>
        <v>338870.85</v>
      </c>
      <c r="G17" s="21">
        <f t="shared" si="2"/>
        <v>0</v>
      </c>
      <c r="H17" s="21">
        <f t="shared" si="2"/>
        <v>283303.82999999996</v>
      </c>
      <c r="I17" s="21">
        <f t="shared" si="2"/>
        <v>2123320.14</v>
      </c>
      <c r="J17" s="21">
        <f t="shared" si="2"/>
        <v>156211</v>
      </c>
      <c r="K17" s="21">
        <f t="shared" si="2"/>
        <v>0</v>
      </c>
      <c r="L17" s="21">
        <f t="shared" si="2"/>
        <v>0</v>
      </c>
      <c r="M17" s="21">
        <f t="shared" si="2"/>
        <v>1694939.06</v>
      </c>
      <c r="N17" s="21">
        <f t="shared" si="2"/>
        <v>132837.68</v>
      </c>
      <c r="O17" s="21">
        <f t="shared" si="2"/>
        <v>8946452.68</v>
      </c>
      <c r="P17" s="21">
        <f t="shared" si="2"/>
        <v>0</v>
      </c>
      <c r="Q17" s="21">
        <f t="shared" si="2"/>
        <v>1522159.3099999998</v>
      </c>
      <c r="R17" s="21">
        <f t="shared" si="2"/>
        <v>228155.40000000002</v>
      </c>
      <c r="S17" s="21">
        <f t="shared" si="2"/>
        <v>0</v>
      </c>
      <c r="T17" s="21">
        <f t="shared" si="2"/>
        <v>180101</v>
      </c>
      <c r="U17" s="21">
        <f t="shared" si="2"/>
        <v>0</v>
      </c>
      <c r="V17" s="21">
        <f t="shared" si="2"/>
        <v>0</v>
      </c>
      <c r="W17" s="21">
        <f t="shared" si="2"/>
        <v>171633.5</v>
      </c>
      <c r="X17" s="21">
        <f t="shared" si="2"/>
        <v>736701.6799999999</v>
      </c>
      <c r="Y17" s="21">
        <f t="shared" si="2"/>
        <v>520567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305930.65</v>
      </c>
      <c r="AD17" s="21">
        <f t="shared" si="2"/>
        <v>1419</v>
      </c>
      <c r="AE17" s="21">
        <f t="shared" si="2"/>
        <v>0</v>
      </c>
      <c r="AF17" s="21">
        <f t="shared" si="2"/>
        <v>0</v>
      </c>
      <c r="AG17" s="21">
        <f t="shared" si="2"/>
        <v>244.25</v>
      </c>
      <c r="AH17" s="21">
        <f t="shared" si="2"/>
        <v>0</v>
      </c>
      <c r="AI17" s="21">
        <f t="shared" si="2"/>
        <v>0</v>
      </c>
      <c r="AJ17" s="21">
        <f aca="true" t="shared" si="3" ref="AJ17:BH17">SUM(AJ19:AJ27)</f>
        <v>0</v>
      </c>
      <c r="AK17" s="21">
        <f t="shared" si="3"/>
        <v>157233</v>
      </c>
      <c r="AL17" s="21">
        <f t="shared" si="3"/>
        <v>0</v>
      </c>
      <c r="AM17" s="21">
        <f t="shared" si="3"/>
        <v>0</v>
      </c>
      <c r="AN17" s="21">
        <f t="shared" si="3"/>
        <v>0</v>
      </c>
      <c r="AO17" s="21">
        <f t="shared" si="3"/>
        <v>0</v>
      </c>
      <c r="AP17" s="21">
        <f t="shared" si="3"/>
        <v>690</v>
      </c>
      <c r="AQ17" s="21">
        <f t="shared" si="3"/>
        <v>0</v>
      </c>
      <c r="AR17" s="21">
        <f t="shared" si="3"/>
        <v>0</v>
      </c>
      <c r="AS17" s="21">
        <f t="shared" si="3"/>
        <v>0</v>
      </c>
      <c r="AT17" s="21">
        <f t="shared" si="3"/>
        <v>0</v>
      </c>
      <c r="AU17" s="21">
        <f t="shared" si="3"/>
        <v>0</v>
      </c>
      <c r="AV17" s="21">
        <f t="shared" si="3"/>
        <v>0</v>
      </c>
      <c r="AW17" s="21">
        <f t="shared" si="3"/>
        <v>0</v>
      </c>
      <c r="AX17" s="21">
        <f t="shared" si="3"/>
        <v>0</v>
      </c>
      <c r="AY17" s="21">
        <f t="shared" si="3"/>
        <v>0</v>
      </c>
      <c r="AZ17" s="21">
        <f t="shared" si="3"/>
        <v>225096.33</v>
      </c>
      <c r="BA17" s="21">
        <f t="shared" si="3"/>
        <v>1587</v>
      </c>
      <c r="BB17" s="21">
        <f t="shared" si="3"/>
        <v>0</v>
      </c>
      <c r="BC17" s="21">
        <f t="shared" si="3"/>
        <v>0</v>
      </c>
      <c r="BD17" s="21">
        <f t="shared" si="3"/>
        <v>0</v>
      </c>
      <c r="BE17" s="21">
        <f t="shared" si="3"/>
        <v>0</v>
      </c>
      <c r="BF17" s="21">
        <f t="shared" si="3"/>
        <v>0</v>
      </c>
      <c r="BG17" s="90">
        <f t="shared" si="3"/>
        <v>843919.19</v>
      </c>
      <c r="BH17" s="21">
        <f t="shared" si="3"/>
        <v>0</v>
      </c>
      <c r="BK17" s="60"/>
    </row>
    <row r="18" spans="1:63" s="25" customFormat="1" ht="12.75">
      <c r="A18" s="28"/>
      <c r="B18" s="101" t="s">
        <v>85</v>
      </c>
      <c r="C18" s="1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K18" s="60"/>
    </row>
    <row r="19" spans="1:63" ht="12.75">
      <c r="A19" s="27"/>
      <c r="B19" s="101" t="s">
        <v>86</v>
      </c>
      <c r="C19" s="29">
        <f>SUM(D19:BH19)</f>
        <v>438077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180101</v>
      </c>
      <c r="U19" s="22">
        <v>0</v>
      </c>
      <c r="V19" s="22">
        <v>0</v>
      </c>
      <c r="W19" s="22">
        <v>171633.5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82402.25</v>
      </c>
      <c r="AD19" s="22">
        <v>1419</v>
      </c>
      <c r="AE19" s="22">
        <v>0</v>
      </c>
      <c r="AF19" s="22">
        <v>0</v>
      </c>
      <c r="AG19" s="22">
        <v>244.25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690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1587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K19" s="60"/>
    </row>
    <row r="20" spans="1:63" s="32" customFormat="1" ht="12.75">
      <c r="A20" s="30"/>
      <c r="B20" s="66" t="s">
        <v>98</v>
      </c>
      <c r="C20" s="29">
        <f aca="true" t="shared" si="4" ref="C20:C27">SUM(D20:BH20)</f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K20" s="60"/>
    </row>
    <row r="21" spans="1:120" s="32" customFormat="1" ht="24">
      <c r="A21" s="30"/>
      <c r="B21" s="102" t="s">
        <v>99</v>
      </c>
      <c r="C21" s="58">
        <f t="shared" si="4"/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57"/>
      <c r="BJ21" s="57"/>
      <c r="BK21" s="60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</row>
    <row r="22" spans="1:120" s="32" customFormat="1" ht="24">
      <c r="A22" s="30"/>
      <c r="B22" s="102" t="s">
        <v>100</v>
      </c>
      <c r="C22" s="58">
        <f t="shared" si="4"/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57"/>
      <c r="BJ22" s="57"/>
      <c r="BK22" s="60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</row>
    <row r="23" spans="1:120" s="32" customFormat="1" ht="12.75">
      <c r="A23" s="30"/>
      <c r="B23" s="103" t="s">
        <v>101</v>
      </c>
      <c r="C23" s="58">
        <f t="shared" si="4"/>
        <v>999788.0000000001</v>
      </c>
      <c r="D23" s="31">
        <v>0</v>
      </c>
      <c r="E23" s="31">
        <v>0</v>
      </c>
      <c r="F23" s="31">
        <v>0</v>
      </c>
      <c r="G23" s="31">
        <v>0</v>
      </c>
      <c r="H23" s="31">
        <v>137928.83</v>
      </c>
      <c r="I23" s="31">
        <v>249834.46</v>
      </c>
      <c r="J23" s="31">
        <v>0</v>
      </c>
      <c r="K23" s="31">
        <v>0</v>
      </c>
      <c r="L23" s="31">
        <v>0</v>
      </c>
      <c r="M23" s="31">
        <v>0</v>
      </c>
      <c r="N23" s="31">
        <v>93270.68</v>
      </c>
      <c r="O23" s="31">
        <v>0</v>
      </c>
      <c r="P23" s="31">
        <v>0</v>
      </c>
      <c r="Q23" s="31">
        <v>132351.9</v>
      </c>
      <c r="R23" s="31">
        <v>159645.2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10003.68</v>
      </c>
      <c r="Y23" s="31">
        <v>0</v>
      </c>
      <c r="Z23" s="31">
        <v>0</v>
      </c>
      <c r="AA23" s="31">
        <v>0</v>
      </c>
      <c r="AB23" s="31">
        <v>0</v>
      </c>
      <c r="AC23" s="85">
        <v>72924.05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83655.5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60173.7</v>
      </c>
      <c r="BH23" s="31">
        <v>0</v>
      </c>
      <c r="BI23" s="57"/>
      <c r="BJ23" s="57"/>
      <c r="BK23" s="60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</row>
    <row r="24" spans="1:120" s="32" customFormat="1" ht="12.75">
      <c r="A24" s="30"/>
      <c r="B24" s="103" t="s">
        <v>102</v>
      </c>
      <c r="C24" s="58">
        <f t="shared" si="4"/>
        <v>5777437.69</v>
      </c>
      <c r="D24" s="31">
        <v>0</v>
      </c>
      <c r="E24" s="31">
        <v>0</v>
      </c>
      <c r="F24" s="31">
        <v>0</v>
      </c>
      <c r="G24" s="31">
        <v>0</v>
      </c>
      <c r="H24" s="31">
        <v>145375</v>
      </c>
      <c r="I24" s="31">
        <v>1873485.68</v>
      </c>
      <c r="J24" s="31">
        <v>0</v>
      </c>
      <c r="K24" s="31">
        <v>0</v>
      </c>
      <c r="L24" s="31">
        <v>0</v>
      </c>
      <c r="M24" s="31">
        <v>1694939.06</v>
      </c>
      <c r="N24" s="31">
        <v>39567</v>
      </c>
      <c r="O24" s="31">
        <v>0</v>
      </c>
      <c r="P24" s="31">
        <v>0</v>
      </c>
      <c r="Q24" s="31">
        <v>1179206.41</v>
      </c>
      <c r="R24" s="31">
        <v>68510.2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184997</v>
      </c>
      <c r="Y24" s="31">
        <v>0</v>
      </c>
      <c r="Z24" s="31">
        <v>0</v>
      </c>
      <c r="AA24" s="31">
        <v>0</v>
      </c>
      <c r="AB24" s="31">
        <v>0</v>
      </c>
      <c r="AC24" s="85">
        <v>150604.35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157233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141440.83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142079.16</v>
      </c>
      <c r="BH24" s="31">
        <v>0</v>
      </c>
      <c r="BI24" s="57"/>
      <c r="BJ24" s="57"/>
      <c r="BK24" s="60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</row>
    <row r="25" spans="1:120" s="32" customFormat="1" ht="12.75">
      <c r="A25" s="30"/>
      <c r="B25" s="103" t="s">
        <v>125</v>
      </c>
      <c r="C25" s="58">
        <f t="shared" si="4"/>
        <v>3223613.18</v>
      </c>
      <c r="D25" s="31">
        <v>750000</v>
      </c>
      <c r="E25" s="31">
        <v>0</v>
      </c>
      <c r="F25" s="31">
        <v>338870.85</v>
      </c>
      <c r="G25" s="31">
        <v>0</v>
      </c>
      <c r="H25" s="31">
        <v>0</v>
      </c>
      <c r="I25" s="31">
        <v>0</v>
      </c>
      <c r="J25" s="31">
        <v>156211</v>
      </c>
      <c r="K25" s="31">
        <v>0</v>
      </c>
      <c r="L25" s="31">
        <v>0</v>
      </c>
      <c r="M25" s="31">
        <v>0</v>
      </c>
      <c r="N25" s="31">
        <v>0</v>
      </c>
      <c r="O25" s="31">
        <v>381908</v>
      </c>
      <c r="P25" s="31">
        <v>0</v>
      </c>
      <c r="Q25" s="31">
        <v>210601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457122</v>
      </c>
      <c r="Y25" s="31">
        <v>520567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408333.33</v>
      </c>
      <c r="BH25" s="31">
        <v>0</v>
      </c>
      <c r="BI25" s="57"/>
      <c r="BJ25" s="57"/>
      <c r="BK25" s="60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</row>
    <row r="26" spans="1:120" s="32" customFormat="1" ht="12.75">
      <c r="A26" s="30"/>
      <c r="B26" s="103" t="s">
        <v>124</v>
      </c>
      <c r="C26" s="58">
        <f t="shared" si="4"/>
        <v>317912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84579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233333</v>
      </c>
      <c r="BH26" s="31">
        <v>0</v>
      </c>
      <c r="BI26" s="57"/>
      <c r="BJ26" s="57"/>
      <c r="BK26" s="60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</row>
    <row r="27" spans="1:120" s="32" customFormat="1" ht="12.75">
      <c r="A27" s="30"/>
      <c r="B27" s="103" t="s">
        <v>88</v>
      </c>
      <c r="C27" s="58">
        <f t="shared" si="4"/>
        <v>8564544.68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8564544.68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57"/>
      <c r="BJ27" s="57"/>
      <c r="BK27" s="60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</row>
    <row r="28" spans="1:63" ht="13.5" thickBot="1">
      <c r="A28" s="18"/>
      <c r="B28" s="104"/>
      <c r="C28" s="1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K28" s="60"/>
    </row>
    <row r="29" spans="1:63" s="35" customFormat="1" ht="18.75" customHeight="1" thickBot="1" thickTop="1">
      <c r="A29" s="33" t="s">
        <v>61</v>
      </c>
      <c r="B29" s="105" t="s">
        <v>93</v>
      </c>
      <c r="C29" s="34">
        <f>SUM(D29:BH29)</f>
        <v>22321865.11</v>
      </c>
      <c r="D29" s="34">
        <f aca="true" t="shared" si="5" ref="D29:AI29">SUM(D12,D17)</f>
        <v>750000</v>
      </c>
      <c r="E29" s="34">
        <f t="shared" si="5"/>
        <v>0</v>
      </c>
      <c r="F29" s="34">
        <f t="shared" si="5"/>
        <v>338870.85</v>
      </c>
      <c r="G29" s="34">
        <f t="shared" si="5"/>
        <v>0</v>
      </c>
      <c r="H29" s="34">
        <f t="shared" si="5"/>
        <v>1049727.2999999998</v>
      </c>
      <c r="I29" s="34">
        <f t="shared" si="5"/>
        <v>2317298.56</v>
      </c>
      <c r="J29" s="34">
        <f t="shared" si="5"/>
        <v>156211</v>
      </c>
      <c r="K29" s="34">
        <f t="shared" si="5"/>
        <v>0</v>
      </c>
      <c r="L29" s="34">
        <f t="shared" si="5"/>
        <v>1382763.73</v>
      </c>
      <c r="M29" s="34">
        <f t="shared" si="5"/>
        <v>1694939.06</v>
      </c>
      <c r="N29" s="34">
        <f t="shared" si="5"/>
        <v>132837.68</v>
      </c>
      <c r="O29" s="34">
        <f t="shared" si="5"/>
        <v>8946452.68</v>
      </c>
      <c r="P29" s="34">
        <f t="shared" si="5"/>
        <v>0</v>
      </c>
      <c r="Q29" s="34">
        <f t="shared" si="5"/>
        <v>2022025.3499999999</v>
      </c>
      <c r="R29" s="34">
        <f t="shared" si="5"/>
        <v>228155.40000000002</v>
      </c>
      <c r="S29" s="34">
        <f t="shared" si="5"/>
        <v>0</v>
      </c>
      <c r="T29" s="34">
        <f t="shared" si="5"/>
        <v>180101</v>
      </c>
      <c r="U29" s="34">
        <f t="shared" si="5"/>
        <v>0</v>
      </c>
      <c r="V29" s="34">
        <f t="shared" si="5"/>
        <v>50000</v>
      </c>
      <c r="W29" s="34">
        <f t="shared" si="5"/>
        <v>258857.05</v>
      </c>
      <c r="X29" s="34">
        <f t="shared" si="5"/>
        <v>736701.6799999999</v>
      </c>
      <c r="Y29" s="34">
        <f t="shared" si="5"/>
        <v>520567</v>
      </c>
      <c r="Z29" s="34">
        <f t="shared" si="5"/>
        <v>20237.35</v>
      </c>
      <c r="AA29" s="34">
        <f t="shared" si="5"/>
        <v>0</v>
      </c>
      <c r="AB29" s="34">
        <f t="shared" si="5"/>
        <v>0</v>
      </c>
      <c r="AC29" s="34">
        <f t="shared" si="5"/>
        <v>305930.65</v>
      </c>
      <c r="AD29" s="34">
        <f t="shared" si="5"/>
        <v>1419</v>
      </c>
      <c r="AE29" s="34">
        <f t="shared" si="5"/>
        <v>0</v>
      </c>
      <c r="AF29" s="34">
        <f t="shared" si="5"/>
        <v>0</v>
      </c>
      <c r="AG29" s="34">
        <f t="shared" si="5"/>
        <v>244.25</v>
      </c>
      <c r="AH29" s="34">
        <f t="shared" si="5"/>
        <v>0</v>
      </c>
      <c r="AI29" s="34">
        <f t="shared" si="5"/>
        <v>0</v>
      </c>
      <c r="AJ29" s="34">
        <f aca="true" t="shared" si="6" ref="AJ29:BH29">SUM(AJ12,AJ17)</f>
        <v>0</v>
      </c>
      <c r="AK29" s="34">
        <f t="shared" si="6"/>
        <v>157233</v>
      </c>
      <c r="AL29" s="34">
        <f t="shared" si="6"/>
        <v>0</v>
      </c>
      <c r="AM29" s="34">
        <f t="shared" si="6"/>
        <v>0</v>
      </c>
      <c r="AN29" s="34">
        <f t="shared" si="6"/>
        <v>0</v>
      </c>
      <c r="AO29" s="34">
        <f t="shared" si="6"/>
        <v>0</v>
      </c>
      <c r="AP29" s="34">
        <f t="shared" si="6"/>
        <v>690</v>
      </c>
      <c r="AQ29" s="34">
        <f t="shared" si="6"/>
        <v>0</v>
      </c>
      <c r="AR29" s="34">
        <f t="shared" si="6"/>
        <v>0</v>
      </c>
      <c r="AS29" s="34">
        <f t="shared" si="6"/>
        <v>0</v>
      </c>
      <c r="AT29" s="34">
        <f t="shared" si="6"/>
        <v>0</v>
      </c>
      <c r="AU29" s="34">
        <f t="shared" si="6"/>
        <v>0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0</v>
      </c>
      <c r="AZ29" s="34">
        <f t="shared" si="6"/>
        <v>225096.33</v>
      </c>
      <c r="BA29" s="34">
        <f t="shared" si="6"/>
        <v>1587</v>
      </c>
      <c r="BB29" s="34">
        <f t="shared" si="6"/>
        <v>0</v>
      </c>
      <c r="BC29" s="34">
        <f t="shared" si="6"/>
        <v>0</v>
      </c>
      <c r="BD29" s="34">
        <f t="shared" si="6"/>
        <v>0</v>
      </c>
      <c r="BE29" s="34">
        <f t="shared" si="6"/>
        <v>0</v>
      </c>
      <c r="BF29" s="34">
        <f t="shared" si="6"/>
        <v>0</v>
      </c>
      <c r="BG29" s="91">
        <f t="shared" si="6"/>
        <v>843919.19</v>
      </c>
      <c r="BH29" s="34">
        <f t="shared" si="6"/>
        <v>0</v>
      </c>
      <c r="BK29" s="60"/>
    </row>
    <row r="30" spans="1:63" s="38" customFormat="1" ht="13.5" thickTop="1">
      <c r="A30" s="36"/>
      <c r="B30" s="106"/>
      <c r="C30" s="24"/>
      <c r="D30" s="37"/>
      <c r="E30" s="55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K30" s="60"/>
    </row>
    <row r="31" spans="1:63" ht="15.75" customHeight="1">
      <c r="A31" s="39"/>
      <c r="B31" s="107" t="s">
        <v>65</v>
      </c>
      <c r="C31" s="16"/>
      <c r="D31" s="40"/>
      <c r="E31" s="1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K31" s="60"/>
    </row>
    <row r="32" spans="1:63" ht="12.75">
      <c r="A32" s="39"/>
      <c r="B32" s="98"/>
      <c r="C32" s="16"/>
      <c r="D32" s="40"/>
      <c r="E32" s="1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K32" s="60"/>
    </row>
    <row r="33" spans="1:63" s="25" customFormat="1" ht="15.75" customHeight="1">
      <c r="A33" s="41" t="s">
        <v>62</v>
      </c>
      <c r="B33" s="107" t="s">
        <v>67</v>
      </c>
      <c r="C33" s="16">
        <f aca="true" t="shared" si="7" ref="C33:C42">SUM(D33:BH33)</f>
        <v>8624617.170000002</v>
      </c>
      <c r="D33" s="42">
        <f aca="true" t="shared" si="8" ref="D33:AI33">SUM(D34:D42)</f>
        <v>43002.94</v>
      </c>
      <c r="E33" s="42">
        <f t="shared" si="8"/>
        <v>272063.53</v>
      </c>
      <c r="F33" s="42">
        <f t="shared" si="8"/>
        <v>1255421</v>
      </c>
      <c r="G33" s="42">
        <f t="shared" si="8"/>
        <v>573037</v>
      </c>
      <c r="H33" s="42">
        <f t="shared" si="8"/>
        <v>489613.7</v>
      </c>
      <c r="I33" s="42">
        <f t="shared" si="8"/>
        <v>52466.42999999999</v>
      </c>
      <c r="J33" s="42">
        <f t="shared" si="8"/>
        <v>857233.23</v>
      </c>
      <c r="K33" s="42">
        <f t="shared" si="8"/>
        <v>210516.92</v>
      </c>
      <c r="L33" s="42">
        <f t="shared" si="8"/>
        <v>240024.1</v>
      </c>
      <c r="M33" s="42">
        <f t="shared" si="8"/>
        <v>348328.82999999996</v>
      </c>
      <c r="N33" s="42">
        <f t="shared" si="8"/>
        <v>442122.07</v>
      </c>
      <c r="O33" s="42">
        <f t="shared" si="8"/>
        <v>316467.5</v>
      </c>
      <c r="P33" s="42">
        <f t="shared" si="8"/>
        <v>1226887.4500000002</v>
      </c>
      <c r="Q33" s="42">
        <f t="shared" si="8"/>
        <v>396919.35</v>
      </c>
      <c r="R33" s="42">
        <f t="shared" si="8"/>
        <v>0</v>
      </c>
      <c r="S33" s="42">
        <f t="shared" si="8"/>
        <v>52564.25</v>
      </c>
      <c r="T33" s="42">
        <f t="shared" si="8"/>
        <v>145075</v>
      </c>
      <c r="U33" s="42">
        <f t="shared" si="8"/>
        <v>292624.07</v>
      </c>
      <c r="V33" s="42">
        <f t="shared" si="8"/>
        <v>0</v>
      </c>
      <c r="W33" s="42">
        <f t="shared" si="8"/>
        <v>0</v>
      </c>
      <c r="X33" s="42">
        <f t="shared" si="8"/>
        <v>416729.19</v>
      </c>
      <c r="Y33" s="42">
        <f t="shared" si="8"/>
        <v>57774</v>
      </c>
      <c r="Z33" s="42">
        <f t="shared" si="8"/>
        <v>0</v>
      </c>
      <c r="AA33" s="42">
        <f t="shared" si="8"/>
        <v>0</v>
      </c>
      <c r="AB33" s="42">
        <f t="shared" si="8"/>
        <v>0</v>
      </c>
      <c r="AC33" s="42">
        <f t="shared" si="8"/>
        <v>0</v>
      </c>
      <c r="AD33" s="42">
        <f t="shared" si="8"/>
        <v>0</v>
      </c>
      <c r="AE33" s="42">
        <f t="shared" si="8"/>
        <v>0</v>
      </c>
      <c r="AF33" s="42">
        <f t="shared" si="8"/>
        <v>0</v>
      </c>
      <c r="AG33" s="42">
        <f t="shared" si="8"/>
        <v>1800.2</v>
      </c>
      <c r="AH33" s="42">
        <f t="shared" si="8"/>
        <v>0</v>
      </c>
      <c r="AI33" s="42">
        <f t="shared" si="8"/>
        <v>0</v>
      </c>
      <c r="AJ33" s="42">
        <f aca="true" t="shared" si="9" ref="AJ33:BH33">SUM(AJ34:AJ42)</f>
        <v>6000.2</v>
      </c>
      <c r="AK33" s="42">
        <f t="shared" si="9"/>
        <v>0</v>
      </c>
      <c r="AL33" s="42">
        <f t="shared" si="9"/>
        <v>0</v>
      </c>
      <c r="AM33" s="42">
        <f t="shared" si="9"/>
        <v>0</v>
      </c>
      <c r="AN33" s="42">
        <f t="shared" si="9"/>
        <v>0</v>
      </c>
      <c r="AO33" s="42">
        <f t="shared" si="9"/>
        <v>825090.24</v>
      </c>
      <c r="AP33" s="42">
        <f t="shared" si="9"/>
        <v>0</v>
      </c>
      <c r="AQ33" s="42">
        <f t="shared" si="9"/>
        <v>0</v>
      </c>
      <c r="AR33" s="42">
        <f t="shared" si="9"/>
        <v>0</v>
      </c>
      <c r="AS33" s="42">
        <f t="shared" si="9"/>
        <v>0</v>
      </c>
      <c r="AT33" s="42">
        <f t="shared" si="9"/>
        <v>0</v>
      </c>
      <c r="AU33" s="42">
        <f t="shared" si="9"/>
        <v>0</v>
      </c>
      <c r="AV33" s="42">
        <f t="shared" si="9"/>
        <v>0</v>
      </c>
      <c r="AW33" s="42">
        <f t="shared" si="9"/>
        <v>11843</v>
      </c>
      <c r="AX33" s="42">
        <f t="shared" si="9"/>
        <v>27527</v>
      </c>
      <c r="AY33" s="42">
        <f t="shared" si="9"/>
        <v>0</v>
      </c>
      <c r="AZ33" s="42">
        <f t="shared" si="9"/>
        <v>16304.07</v>
      </c>
      <c r="BA33" s="42">
        <f t="shared" si="9"/>
        <v>0</v>
      </c>
      <c r="BB33" s="42">
        <f t="shared" si="9"/>
        <v>0</v>
      </c>
      <c r="BC33" s="42">
        <f t="shared" si="9"/>
        <v>26212.66</v>
      </c>
      <c r="BD33" s="42">
        <f t="shared" si="9"/>
        <v>0</v>
      </c>
      <c r="BE33" s="42">
        <f t="shared" si="9"/>
        <v>0</v>
      </c>
      <c r="BF33" s="42">
        <f t="shared" si="9"/>
        <v>20968.31</v>
      </c>
      <c r="BG33" s="42">
        <f t="shared" si="9"/>
        <v>0.93</v>
      </c>
      <c r="BH33" s="42">
        <f t="shared" si="9"/>
        <v>0</v>
      </c>
      <c r="BK33" s="60"/>
    </row>
    <row r="34" spans="1:63" ht="12.75">
      <c r="A34" s="39"/>
      <c r="B34" s="99" t="s">
        <v>85</v>
      </c>
      <c r="C34" s="16"/>
      <c r="D34" s="40"/>
      <c r="E34" s="17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K34" s="60"/>
    </row>
    <row r="35" spans="1:63" ht="12.75">
      <c r="A35" s="39"/>
      <c r="B35" s="66" t="s">
        <v>107</v>
      </c>
      <c r="C35" s="16">
        <f t="shared" si="7"/>
        <v>654692.9299999999</v>
      </c>
      <c r="D35" s="40">
        <v>0</v>
      </c>
      <c r="E35" s="17">
        <v>7018.39</v>
      </c>
      <c r="F35" s="40">
        <v>0</v>
      </c>
      <c r="G35" s="40">
        <v>0</v>
      </c>
      <c r="H35" s="40">
        <v>0</v>
      </c>
      <c r="I35" s="40">
        <v>0</v>
      </c>
      <c r="J35" s="40">
        <v>399606.21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137221.7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191.19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1800.2</v>
      </c>
      <c r="AH35" s="40">
        <v>0</v>
      </c>
      <c r="AI35" s="40">
        <v>0</v>
      </c>
      <c r="AJ35" s="40">
        <v>6000.2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11843</v>
      </c>
      <c r="AX35" s="40">
        <v>27527</v>
      </c>
      <c r="AY35" s="40">
        <v>0</v>
      </c>
      <c r="AZ35" s="40">
        <v>16304.07</v>
      </c>
      <c r="BA35" s="40">
        <v>0</v>
      </c>
      <c r="BB35" s="40">
        <v>0</v>
      </c>
      <c r="BC35" s="40">
        <v>26212.66</v>
      </c>
      <c r="BD35" s="40">
        <v>0</v>
      </c>
      <c r="BE35" s="40">
        <v>0</v>
      </c>
      <c r="BF35" s="40">
        <v>20968.31</v>
      </c>
      <c r="BG35" s="40">
        <v>0</v>
      </c>
      <c r="BH35" s="40">
        <v>0</v>
      </c>
      <c r="BK35" s="60"/>
    </row>
    <row r="36" spans="1:63" ht="12.75">
      <c r="A36" s="39"/>
      <c r="B36" s="66" t="s">
        <v>97</v>
      </c>
      <c r="C36" s="16">
        <f t="shared" si="7"/>
        <v>143390</v>
      </c>
      <c r="D36" s="40">
        <v>10000</v>
      </c>
      <c r="E36" s="17">
        <v>0</v>
      </c>
      <c r="F36" s="40">
        <v>50</v>
      </c>
      <c r="G36" s="40">
        <v>0</v>
      </c>
      <c r="H36" s="40">
        <v>41650</v>
      </c>
      <c r="I36" s="40">
        <v>0</v>
      </c>
      <c r="J36" s="40">
        <v>0</v>
      </c>
      <c r="K36" s="40">
        <v>32095</v>
      </c>
      <c r="L36" s="40">
        <v>0</v>
      </c>
      <c r="M36" s="40">
        <v>0</v>
      </c>
      <c r="N36" s="40">
        <v>0</v>
      </c>
      <c r="O36" s="40">
        <v>25295</v>
      </c>
      <c r="P36" s="82">
        <v>16660</v>
      </c>
      <c r="Q36" s="40">
        <v>17640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K36" s="60"/>
    </row>
    <row r="37" spans="1:63" ht="12.75">
      <c r="A37" s="39"/>
      <c r="B37" s="108" t="s">
        <v>108</v>
      </c>
      <c r="C37" s="16">
        <f t="shared" si="7"/>
        <v>0</v>
      </c>
      <c r="D37" s="40">
        <v>0</v>
      </c>
      <c r="E37" s="17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5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K37" s="60"/>
    </row>
    <row r="38" spans="1:63" s="46" customFormat="1" ht="12.75">
      <c r="A38" s="43"/>
      <c r="B38" s="66" t="s">
        <v>103</v>
      </c>
      <c r="C38" s="44">
        <f t="shared" si="7"/>
        <v>2713522.39</v>
      </c>
      <c r="D38" s="45">
        <v>0</v>
      </c>
      <c r="E38" s="56">
        <v>242795.14</v>
      </c>
      <c r="F38" s="45">
        <v>0</v>
      </c>
      <c r="G38" s="45">
        <v>0</v>
      </c>
      <c r="H38" s="45">
        <v>384223</v>
      </c>
      <c r="I38" s="45">
        <v>51687.34</v>
      </c>
      <c r="J38" s="45">
        <v>24208.35</v>
      </c>
      <c r="K38" s="45">
        <v>0</v>
      </c>
      <c r="L38" s="45">
        <v>0</v>
      </c>
      <c r="M38" s="45">
        <v>50500.99</v>
      </c>
      <c r="N38" s="45">
        <v>397166.62</v>
      </c>
      <c r="O38" s="45">
        <v>0</v>
      </c>
      <c r="P38" s="45">
        <v>648114.43</v>
      </c>
      <c r="Q38" s="45">
        <v>153100.2</v>
      </c>
      <c r="R38" s="45">
        <v>0</v>
      </c>
      <c r="S38" s="45">
        <v>52564.25</v>
      </c>
      <c r="T38" s="45">
        <v>0</v>
      </c>
      <c r="U38" s="45">
        <v>292624.07</v>
      </c>
      <c r="V38" s="45">
        <v>0</v>
      </c>
      <c r="W38" s="45">
        <v>0</v>
      </c>
      <c r="X38" s="45">
        <v>416538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K38" s="60"/>
    </row>
    <row r="39" spans="1:63" s="46" customFormat="1" ht="12.75">
      <c r="A39" s="43"/>
      <c r="B39" s="66" t="s">
        <v>87</v>
      </c>
      <c r="C39" s="44">
        <f t="shared" si="7"/>
        <v>0</v>
      </c>
      <c r="D39" s="45">
        <v>0</v>
      </c>
      <c r="E39" s="56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K39" s="60"/>
    </row>
    <row r="40" spans="1:63" s="46" customFormat="1" ht="12.75">
      <c r="A40" s="43"/>
      <c r="B40" s="66" t="s">
        <v>104</v>
      </c>
      <c r="C40" s="44">
        <f t="shared" si="7"/>
        <v>300</v>
      </c>
      <c r="D40" s="45">
        <v>0</v>
      </c>
      <c r="E40" s="56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300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K40" s="60"/>
    </row>
    <row r="41" spans="1:63" s="46" customFormat="1" ht="12.75">
      <c r="A41" s="43"/>
      <c r="B41" s="66" t="s">
        <v>105</v>
      </c>
      <c r="C41" s="44">
        <f t="shared" si="7"/>
        <v>5112711.85</v>
      </c>
      <c r="D41" s="45">
        <v>33002.94</v>
      </c>
      <c r="E41" s="56">
        <v>22250</v>
      </c>
      <c r="F41" s="45">
        <v>1255371</v>
      </c>
      <c r="G41" s="45">
        <v>573037</v>
      </c>
      <c r="H41" s="45">
        <v>63740.7</v>
      </c>
      <c r="I41" s="45">
        <v>779.09</v>
      </c>
      <c r="J41" s="45">
        <v>433418.67</v>
      </c>
      <c r="K41" s="45">
        <v>178421.92</v>
      </c>
      <c r="L41" s="45">
        <v>240024.1</v>
      </c>
      <c r="M41" s="45">
        <f>38+240515+27727.85+29546.99</f>
        <v>297827.83999999997</v>
      </c>
      <c r="N41" s="45">
        <v>44955.45</v>
      </c>
      <c r="O41" s="45">
        <v>291172.5</v>
      </c>
      <c r="P41" s="45">
        <v>424591.32</v>
      </c>
      <c r="Q41" s="45">
        <v>226179.15</v>
      </c>
      <c r="R41" s="45">
        <v>0</v>
      </c>
      <c r="S41" s="45">
        <v>0</v>
      </c>
      <c r="T41" s="45">
        <v>145075</v>
      </c>
      <c r="U41" s="45">
        <v>0</v>
      </c>
      <c r="V41" s="45">
        <v>0</v>
      </c>
      <c r="W41" s="45">
        <v>0</v>
      </c>
      <c r="X41" s="45">
        <v>0</v>
      </c>
      <c r="Y41" s="45">
        <v>57774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825090.24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0.93</v>
      </c>
      <c r="BH41" s="45">
        <v>0</v>
      </c>
      <c r="BK41" s="60"/>
    </row>
    <row r="42" spans="1:63" ht="12.75">
      <c r="A42" s="39"/>
      <c r="B42" s="66" t="s">
        <v>106</v>
      </c>
      <c r="C42" s="16">
        <f t="shared" si="7"/>
        <v>0</v>
      </c>
      <c r="D42" s="40">
        <v>0</v>
      </c>
      <c r="E42" s="17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K42" s="60"/>
    </row>
    <row r="43" spans="1:63" ht="12.75">
      <c r="A43" s="39"/>
      <c r="B43" s="98"/>
      <c r="C43" s="16"/>
      <c r="D43" s="40"/>
      <c r="E43" s="17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K43" s="60"/>
    </row>
    <row r="44" spans="1:63" s="25" customFormat="1" ht="12.75">
      <c r="A44" s="47" t="s">
        <v>64</v>
      </c>
      <c r="B44" s="107" t="s">
        <v>79</v>
      </c>
      <c r="C44" s="16">
        <f>SUM(D44:BH44)</f>
        <v>31861075.142000012</v>
      </c>
      <c r="D44" s="42">
        <f aca="true" t="shared" si="10" ref="D44:AI44">SUM(D46:D63)</f>
        <v>274777.4299999997</v>
      </c>
      <c r="E44" s="42">
        <f t="shared" si="10"/>
        <v>7211068.67</v>
      </c>
      <c r="F44" s="42">
        <f t="shared" si="10"/>
        <v>460075.5</v>
      </c>
      <c r="G44" s="42">
        <f t="shared" si="10"/>
        <v>501537.4</v>
      </c>
      <c r="H44" s="42">
        <f t="shared" si="10"/>
        <v>427021.51</v>
      </c>
      <c r="I44" s="42">
        <f t="shared" si="10"/>
        <v>418261.24</v>
      </c>
      <c r="J44" s="42">
        <f t="shared" si="10"/>
        <v>282675.15000000014</v>
      </c>
      <c r="K44" s="42">
        <f t="shared" si="10"/>
        <v>451834.48000000074</v>
      </c>
      <c r="L44" s="42">
        <f t="shared" si="10"/>
        <v>210568.5</v>
      </c>
      <c r="M44" s="42">
        <f t="shared" si="10"/>
        <v>551569.54</v>
      </c>
      <c r="N44" s="42">
        <f t="shared" si="10"/>
        <v>589275.1900000043</v>
      </c>
      <c r="O44" s="42">
        <f t="shared" si="10"/>
        <v>362783</v>
      </c>
      <c r="P44" s="42">
        <f t="shared" si="10"/>
        <v>130673.92</v>
      </c>
      <c r="Q44" s="42">
        <f t="shared" si="10"/>
        <v>416066.5</v>
      </c>
      <c r="R44" s="42">
        <f t="shared" si="10"/>
        <v>56723.63000000268</v>
      </c>
      <c r="S44" s="42">
        <f t="shared" si="10"/>
        <v>13906824.912</v>
      </c>
      <c r="T44" s="42">
        <f t="shared" si="10"/>
        <v>98180</v>
      </c>
      <c r="U44" s="42">
        <f t="shared" si="10"/>
        <v>84087.45</v>
      </c>
      <c r="V44" s="42">
        <f t="shared" si="10"/>
        <v>49490.5</v>
      </c>
      <c r="W44" s="42">
        <f t="shared" si="10"/>
        <v>171600</v>
      </c>
      <c r="X44" s="42">
        <f t="shared" si="10"/>
        <v>157474.29000000007</v>
      </c>
      <c r="Y44" s="42">
        <f t="shared" si="10"/>
        <v>716165.8900000006</v>
      </c>
      <c r="Z44" s="42">
        <f t="shared" si="10"/>
        <v>1504.5</v>
      </c>
      <c r="AA44" s="42">
        <f t="shared" si="10"/>
        <v>480689.18</v>
      </c>
      <c r="AB44" s="42">
        <f t="shared" si="10"/>
        <v>25</v>
      </c>
      <c r="AC44" s="42">
        <f t="shared" si="10"/>
        <v>76298.75000000006</v>
      </c>
      <c r="AD44" s="42">
        <f t="shared" si="10"/>
        <v>3640</v>
      </c>
      <c r="AE44" s="42">
        <f t="shared" si="10"/>
        <v>41732</v>
      </c>
      <c r="AF44" s="42">
        <f t="shared" si="10"/>
        <v>0</v>
      </c>
      <c r="AG44" s="42">
        <f t="shared" si="10"/>
        <v>447.33</v>
      </c>
      <c r="AH44" s="42">
        <f t="shared" si="10"/>
        <v>23959.34</v>
      </c>
      <c r="AI44" s="42">
        <f t="shared" si="10"/>
        <v>31193.209999999963</v>
      </c>
      <c r="AJ44" s="42">
        <f aca="true" t="shared" si="11" ref="AJ44:BH44">SUM(AJ46:AJ63)</f>
        <v>1120.7200000005869</v>
      </c>
      <c r="AK44" s="42">
        <f t="shared" si="11"/>
        <v>118389.25</v>
      </c>
      <c r="AL44" s="42">
        <f t="shared" si="11"/>
        <v>166122.68</v>
      </c>
      <c r="AM44" s="42">
        <f t="shared" si="11"/>
        <v>4980</v>
      </c>
      <c r="AN44" s="42">
        <f t="shared" si="11"/>
        <v>85518.85999999999</v>
      </c>
      <c r="AO44" s="42">
        <f t="shared" si="11"/>
        <v>318822.00000000047</v>
      </c>
      <c r="AP44" s="42">
        <f t="shared" si="11"/>
        <v>13516</v>
      </c>
      <c r="AQ44" s="42">
        <f t="shared" si="11"/>
        <v>5457</v>
      </c>
      <c r="AR44" s="42">
        <f t="shared" si="11"/>
        <v>16422.75</v>
      </c>
      <c r="AS44" s="42">
        <f t="shared" si="11"/>
        <v>12453.75</v>
      </c>
      <c r="AT44" s="42">
        <f t="shared" si="11"/>
        <v>30204.75</v>
      </c>
      <c r="AU44" s="42">
        <f t="shared" si="11"/>
        <v>44426.07</v>
      </c>
      <c r="AV44" s="42">
        <f t="shared" si="11"/>
        <v>4268.25</v>
      </c>
      <c r="AW44" s="42">
        <f t="shared" si="11"/>
        <v>31104.67</v>
      </c>
      <c r="AX44" s="42">
        <f t="shared" si="11"/>
        <v>37.5</v>
      </c>
      <c r="AY44" s="42">
        <f t="shared" si="11"/>
        <v>4680</v>
      </c>
      <c r="AZ44" s="42">
        <f t="shared" si="11"/>
        <v>42333.310000002384</v>
      </c>
      <c r="BA44" s="42">
        <f t="shared" si="11"/>
        <v>760392.44</v>
      </c>
      <c r="BB44" s="42">
        <f t="shared" si="11"/>
        <v>22745</v>
      </c>
      <c r="BC44" s="42">
        <f t="shared" si="11"/>
        <v>20000</v>
      </c>
      <c r="BD44" s="42">
        <f t="shared" si="11"/>
        <v>1762996.0499999998</v>
      </c>
      <c r="BE44" s="42">
        <f t="shared" si="11"/>
        <v>17337.73000000001</v>
      </c>
      <c r="BF44" s="42">
        <f t="shared" si="11"/>
        <v>26979.5</v>
      </c>
      <c r="BG44" s="42">
        <f t="shared" si="11"/>
        <v>64579.559999999685</v>
      </c>
      <c r="BH44" s="42">
        <f t="shared" si="11"/>
        <v>97963.29000000001</v>
      </c>
      <c r="BK44" s="60"/>
    </row>
    <row r="45" spans="1:63" s="25" customFormat="1" ht="12.75">
      <c r="A45" s="47"/>
      <c r="B45" s="98" t="s">
        <v>85</v>
      </c>
      <c r="C45" s="16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K45" s="60"/>
    </row>
    <row r="46" spans="1:63" ht="12.75">
      <c r="A46" s="39"/>
      <c r="B46" s="98" t="s">
        <v>109</v>
      </c>
      <c r="C46" s="16">
        <f aca="true" t="shared" si="12" ref="C46:C63">SUM(D46:BH46)</f>
        <v>541783.1600000004</v>
      </c>
      <c r="D46" s="40">
        <f>16628402.66-7274540-1353590-8000000</f>
        <v>272.660000000149</v>
      </c>
      <c r="E46" s="17">
        <v>0</v>
      </c>
      <c r="F46" s="40">
        <v>0</v>
      </c>
      <c r="G46" s="40">
        <v>0</v>
      </c>
      <c r="H46" s="40">
        <v>0</v>
      </c>
      <c r="I46" s="40">
        <v>0</v>
      </c>
      <c r="J46" s="40">
        <f>9321722.31-9308271.31</f>
        <v>13451</v>
      </c>
      <c r="K46" s="40">
        <f>102631800.1-102360411.85</f>
        <v>271388.25</v>
      </c>
      <c r="L46" s="40">
        <v>0</v>
      </c>
      <c r="M46" s="40">
        <v>0</v>
      </c>
      <c r="N46" s="40">
        <v>0</v>
      </c>
      <c r="O46" s="40">
        <f>136801394.23-136755108.23</f>
        <v>46286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f>6317917.5-6271900-46017.5</f>
        <v>0</v>
      </c>
      <c r="X46" s="40">
        <v>0</v>
      </c>
      <c r="Y46" s="45">
        <v>0</v>
      </c>
      <c r="Z46" s="40">
        <v>0</v>
      </c>
      <c r="AA46" s="40">
        <v>63179.18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f>8865569.22-7000000-1865568.73</f>
        <v>0.4900000006891787</v>
      </c>
      <c r="AK46" s="40">
        <v>0</v>
      </c>
      <c r="AL46" s="40">
        <v>0</v>
      </c>
      <c r="AM46" s="40">
        <v>0</v>
      </c>
      <c r="AN46" s="40">
        <f>4023473-1425900-1650000-886260</f>
        <v>61313</v>
      </c>
      <c r="AO46" s="40">
        <f>4420795.5-4420595.5</f>
        <v>200</v>
      </c>
      <c r="AP46" s="40">
        <v>0</v>
      </c>
      <c r="AQ46" s="40">
        <v>1157</v>
      </c>
      <c r="AR46" s="40">
        <v>0</v>
      </c>
      <c r="AS46" s="40">
        <f>2509010-2500000</f>
        <v>9010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f>1918880.63-1895000</f>
        <v>23880.62999999989</v>
      </c>
      <c r="BE46" s="40">
        <v>0</v>
      </c>
      <c r="BF46" s="40">
        <v>0</v>
      </c>
      <c r="BG46" s="40">
        <f>2917456.26-1918219.85-999000</f>
        <v>236.40999999968335</v>
      </c>
      <c r="BH46" s="40">
        <v>51408.54</v>
      </c>
      <c r="BK46" s="60"/>
    </row>
    <row r="47" spans="1:63" ht="12.75">
      <c r="A47" s="39"/>
      <c r="B47" s="98" t="s">
        <v>110</v>
      </c>
      <c r="C47" s="16">
        <f t="shared" si="12"/>
        <v>0</v>
      </c>
      <c r="D47" s="40">
        <v>0</v>
      </c>
      <c r="E47" s="17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K47" s="60"/>
    </row>
    <row r="48" spans="1:63" ht="12.75">
      <c r="A48" s="39"/>
      <c r="B48" s="98" t="s">
        <v>111</v>
      </c>
      <c r="C48" s="16">
        <f t="shared" si="12"/>
        <v>0</v>
      </c>
      <c r="D48" s="40">
        <v>0</v>
      </c>
      <c r="E48" s="17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K48" s="60"/>
    </row>
    <row r="49" spans="1:63" ht="12.75">
      <c r="A49" s="39"/>
      <c r="B49" s="98" t="s">
        <v>112</v>
      </c>
      <c r="C49" s="16">
        <f t="shared" si="12"/>
        <v>377333.29</v>
      </c>
      <c r="D49" s="40">
        <v>0</v>
      </c>
      <c r="E49" s="17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377333.29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K49" s="60"/>
    </row>
    <row r="50" spans="1:63" s="46" customFormat="1" ht="12.75">
      <c r="A50" s="43"/>
      <c r="B50" s="109" t="s">
        <v>113</v>
      </c>
      <c r="C50" s="16">
        <f t="shared" si="12"/>
        <v>2037392.542</v>
      </c>
      <c r="D50" s="45">
        <f>5359337-1820000-3477085</f>
        <v>62252</v>
      </c>
      <c r="E50" s="56">
        <f>79940-70000</f>
        <v>9940</v>
      </c>
      <c r="F50" s="45">
        <f>1777609.56-724429.56-479700-342100</f>
        <v>231380</v>
      </c>
      <c r="G50" s="45">
        <v>49650</v>
      </c>
      <c r="H50" s="45">
        <v>261740</v>
      </c>
      <c r="I50" s="45">
        <f>1826621.8-1767471.8</f>
        <v>59150</v>
      </c>
      <c r="J50" s="45">
        <f>9728760-9650000</f>
        <v>78760</v>
      </c>
      <c r="K50" s="82">
        <f>6738506.46-3685977.21-3000000</f>
        <v>52529.25</v>
      </c>
      <c r="L50" s="45">
        <f>151544-108800</f>
        <v>42744</v>
      </c>
      <c r="M50" s="45">
        <f>6040371-5964591</f>
        <v>75780</v>
      </c>
      <c r="N50" s="45">
        <v>156049.4</v>
      </c>
      <c r="O50" s="45">
        <f>384124.46-249100</f>
        <v>135024.46000000002</v>
      </c>
      <c r="P50" s="45">
        <v>10562</v>
      </c>
      <c r="Q50" s="45">
        <v>12810</v>
      </c>
      <c r="R50" s="45">
        <f>1888680-1850000</f>
        <v>38680</v>
      </c>
      <c r="S50" s="45">
        <f>1002099.492-1000000</f>
        <v>2099.4919999999693</v>
      </c>
      <c r="T50" s="45">
        <f>140480-42300</f>
        <v>98180</v>
      </c>
      <c r="U50" s="45">
        <v>77470</v>
      </c>
      <c r="V50" s="45">
        <v>41100</v>
      </c>
      <c r="W50" s="45">
        <f>90380-12500</f>
        <v>77880</v>
      </c>
      <c r="X50" s="45">
        <f>787092.08-738049.22</f>
        <v>49042.859999999986</v>
      </c>
      <c r="Y50" s="45">
        <f>560657-540241</f>
        <v>20416</v>
      </c>
      <c r="Z50" s="45">
        <v>0</v>
      </c>
      <c r="AA50" s="45">
        <v>0</v>
      </c>
      <c r="AB50" s="45">
        <v>0</v>
      </c>
      <c r="AC50" s="45">
        <f>598248.65-41882.35-506366.05</f>
        <v>50000.25000000006</v>
      </c>
      <c r="AD50" s="45">
        <v>3640</v>
      </c>
      <c r="AE50" s="45">
        <v>0</v>
      </c>
      <c r="AF50" s="45">
        <v>0</v>
      </c>
      <c r="AG50" s="45">
        <f>400060-400000</f>
        <v>60</v>
      </c>
      <c r="AH50" s="45">
        <v>22558.09</v>
      </c>
      <c r="AI50" s="45">
        <v>0</v>
      </c>
      <c r="AJ50" s="45">
        <f>3026531.4-3000000-26488.13</f>
        <v>43.26999999990585</v>
      </c>
      <c r="AK50" s="45">
        <f>124000-56200</f>
        <v>67800</v>
      </c>
      <c r="AL50" s="45">
        <v>0</v>
      </c>
      <c r="AM50" s="45">
        <v>4980</v>
      </c>
      <c r="AN50" s="45">
        <v>17100</v>
      </c>
      <c r="AO50" s="45">
        <v>20238.46</v>
      </c>
      <c r="AP50" s="45">
        <v>13460</v>
      </c>
      <c r="AQ50" s="45">
        <v>0</v>
      </c>
      <c r="AR50" s="45">
        <f>260873.9-245873.9</f>
        <v>15000</v>
      </c>
      <c r="AS50" s="45">
        <v>0</v>
      </c>
      <c r="AT50" s="45">
        <f>1254270-1224270</f>
        <v>30000</v>
      </c>
      <c r="AU50" s="45">
        <v>20820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22745</v>
      </c>
      <c r="BC50" s="45">
        <v>20000</v>
      </c>
      <c r="BD50" s="45">
        <f>840302.16-814200-9442.16</f>
        <v>16660.000000000033</v>
      </c>
      <c r="BE50" s="45">
        <f>889772.01-881124</f>
        <v>8648.01000000001</v>
      </c>
      <c r="BF50" s="45">
        <v>12260</v>
      </c>
      <c r="BG50" s="45">
        <v>7840</v>
      </c>
      <c r="BH50" s="45">
        <v>40300</v>
      </c>
      <c r="BK50" s="78"/>
    </row>
    <row r="51" spans="1:63" s="46" customFormat="1" ht="12.75">
      <c r="A51" s="43"/>
      <c r="B51" s="109" t="s">
        <v>114</v>
      </c>
      <c r="C51" s="16">
        <f t="shared" si="12"/>
        <v>110313</v>
      </c>
      <c r="D51" s="45">
        <v>0</v>
      </c>
      <c r="E51" s="56">
        <v>0</v>
      </c>
      <c r="F51" s="45">
        <v>0</v>
      </c>
      <c r="G51" s="45">
        <v>6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110300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7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K51" s="78"/>
    </row>
    <row r="52" spans="1:63" s="46" customFormat="1" ht="12.75">
      <c r="A52" s="43"/>
      <c r="B52" s="109" t="s">
        <v>115</v>
      </c>
      <c r="C52" s="16">
        <f t="shared" si="12"/>
        <v>162791</v>
      </c>
      <c r="D52" s="45">
        <v>16890</v>
      </c>
      <c r="E52" s="56">
        <v>24640</v>
      </c>
      <c r="F52" s="45">
        <v>21775</v>
      </c>
      <c r="G52" s="45">
        <v>25500</v>
      </c>
      <c r="H52" s="45">
        <v>0</v>
      </c>
      <c r="I52" s="45">
        <v>0</v>
      </c>
      <c r="J52" s="45">
        <v>0</v>
      </c>
      <c r="K52" s="45">
        <v>0</v>
      </c>
      <c r="L52" s="45">
        <v>21770</v>
      </c>
      <c r="M52" s="45">
        <v>7140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10720</v>
      </c>
      <c r="X52" s="45">
        <v>0</v>
      </c>
      <c r="Y52" s="45">
        <v>19951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14405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K52" s="78"/>
    </row>
    <row r="53" spans="1:256" s="65" customFormat="1" ht="12.75">
      <c r="A53" s="62"/>
      <c r="B53" s="109" t="s">
        <v>116</v>
      </c>
      <c r="C53" s="16">
        <f t="shared" si="12"/>
        <v>2188119.49</v>
      </c>
      <c r="D53" s="63">
        <v>75451</v>
      </c>
      <c r="E53" s="64">
        <v>153500</v>
      </c>
      <c r="F53" s="63">
        <v>100220</v>
      </c>
      <c r="G53" s="63">
        <v>420482.9</v>
      </c>
      <c r="H53" s="63">
        <v>0</v>
      </c>
      <c r="I53" s="116">
        <v>342131.99</v>
      </c>
      <c r="J53" s="63">
        <v>0</v>
      </c>
      <c r="K53" s="63">
        <v>14254.6</v>
      </c>
      <c r="L53" s="63">
        <v>62560</v>
      </c>
      <c r="M53" s="63">
        <v>69900</v>
      </c>
      <c r="N53" s="63">
        <v>91945</v>
      </c>
      <c r="O53" s="63">
        <v>154486.5</v>
      </c>
      <c r="P53" s="63">
        <v>43000</v>
      </c>
      <c r="Q53" s="63">
        <v>370399.5</v>
      </c>
      <c r="R53" s="63">
        <v>6088</v>
      </c>
      <c r="S53" s="63">
        <v>0</v>
      </c>
      <c r="T53" s="63">
        <v>0</v>
      </c>
      <c r="U53" s="63">
        <v>0</v>
      </c>
      <c r="V53" s="63">
        <v>0</v>
      </c>
      <c r="W53" s="63">
        <v>78000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116">
        <v>26250</v>
      </c>
      <c r="AD53" s="63">
        <v>0</v>
      </c>
      <c r="AE53" s="63">
        <v>40000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49300</v>
      </c>
      <c r="AL53" s="63">
        <v>0</v>
      </c>
      <c r="AM53" s="63">
        <v>0</v>
      </c>
      <c r="AN53" s="63">
        <v>0</v>
      </c>
      <c r="AO53" s="63">
        <v>49400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9340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31410</v>
      </c>
      <c r="BH53" s="63">
        <v>0</v>
      </c>
      <c r="BI53" s="79"/>
      <c r="BJ53" s="79"/>
      <c r="BK53" s="80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s="65" customFormat="1" ht="24">
      <c r="A54" s="62"/>
      <c r="B54" s="110" t="s">
        <v>119</v>
      </c>
      <c r="C54" s="16">
        <f t="shared" si="12"/>
        <v>156318.98</v>
      </c>
      <c r="D54" s="63">
        <v>0</v>
      </c>
      <c r="E54" s="64">
        <v>15287.17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f>7179787.53-7143096.53-36691</f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387.33</v>
      </c>
      <c r="AH54" s="63">
        <v>0</v>
      </c>
      <c r="AI54" s="63">
        <v>0</v>
      </c>
      <c r="AJ54" s="63">
        <v>0</v>
      </c>
      <c r="AK54" s="63">
        <v>0</v>
      </c>
      <c r="AL54" s="63">
        <v>90551.35</v>
      </c>
      <c r="AM54" s="63">
        <v>0</v>
      </c>
      <c r="AN54" s="63">
        <v>0</v>
      </c>
      <c r="AO54" s="63">
        <v>0</v>
      </c>
      <c r="AP54" s="63">
        <v>56</v>
      </c>
      <c r="AQ54" s="63">
        <v>0</v>
      </c>
      <c r="AR54" s="63">
        <v>0</v>
      </c>
      <c r="AS54" s="63">
        <v>0</v>
      </c>
      <c r="AT54" s="63">
        <v>0</v>
      </c>
      <c r="AU54" s="63">
        <v>11589.82</v>
      </c>
      <c r="AV54" s="63">
        <v>0</v>
      </c>
      <c r="AW54" s="63">
        <v>25005.92</v>
      </c>
      <c r="AX54" s="63">
        <v>0</v>
      </c>
      <c r="AY54" s="63">
        <v>0</v>
      </c>
      <c r="AZ54" s="63">
        <v>0</v>
      </c>
      <c r="BA54" s="63">
        <v>2249.44</v>
      </c>
      <c r="BB54" s="63">
        <v>0</v>
      </c>
      <c r="BC54" s="63">
        <v>0</v>
      </c>
      <c r="BD54" s="63">
        <v>7534.68</v>
      </c>
      <c r="BE54" s="63">
        <v>3657.27</v>
      </c>
      <c r="BF54" s="63">
        <v>0</v>
      </c>
      <c r="BG54" s="63">
        <v>0</v>
      </c>
      <c r="BH54" s="63">
        <v>0</v>
      </c>
      <c r="BI54" s="79"/>
      <c r="BJ54" s="79"/>
      <c r="BK54" s="80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s="65" customFormat="1" ht="24">
      <c r="A55" s="62"/>
      <c r="B55" s="110" t="s">
        <v>120</v>
      </c>
      <c r="C55" s="16">
        <f t="shared" si="12"/>
        <v>32908.25</v>
      </c>
      <c r="D55" s="63">
        <v>0</v>
      </c>
      <c r="E55" s="64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32619.35</v>
      </c>
      <c r="Y55" s="63">
        <v>0</v>
      </c>
      <c r="Z55" s="63">
        <v>0</v>
      </c>
      <c r="AA55" s="63">
        <v>0</v>
      </c>
      <c r="AB55" s="63">
        <v>25</v>
      </c>
      <c r="AC55" s="63">
        <v>48.5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151</v>
      </c>
      <c r="BB55" s="63">
        <v>0</v>
      </c>
      <c r="BC55" s="63">
        <v>0</v>
      </c>
      <c r="BD55" s="63">
        <v>45</v>
      </c>
      <c r="BE55" s="63">
        <v>0</v>
      </c>
      <c r="BF55" s="63">
        <v>0</v>
      </c>
      <c r="BG55" s="63">
        <v>19.4</v>
      </c>
      <c r="BH55" s="63">
        <v>0</v>
      </c>
      <c r="BI55" s="79"/>
      <c r="BJ55" s="79"/>
      <c r="BK55" s="80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256" s="65" customFormat="1" ht="24">
      <c r="A56" s="62"/>
      <c r="B56" s="111" t="s">
        <v>121</v>
      </c>
      <c r="C56" s="16">
        <f t="shared" si="12"/>
        <v>5434.39</v>
      </c>
      <c r="D56" s="63">
        <v>0</v>
      </c>
      <c r="E56" s="64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942.01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4492.38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3">
        <v>0</v>
      </c>
      <c r="BH56" s="63">
        <v>0</v>
      </c>
      <c r="BI56" s="79"/>
      <c r="BJ56" s="79"/>
      <c r="BK56" s="80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  <c r="IV56" s="79"/>
    </row>
    <row r="57" spans="1:256" s="65" customFormat="1" ht="24">
      <c r="A57" s="62"/>
      <c r="B57" s="111" t="s">
        <v>122</v>
      </c>
      <c r="C57" s="16">
        <f t="shared" si="12"/>
        <v>0</v>
      </c>
      <c r="D57" s="63">
        <v>0</v>
      </c>
      <c r="E57" s="64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3">
        <v>0</v>
      </c>
      <c r="BH57" s="63">
        <v>0</v>
      </c>
      <c r="BI57" s="79"/>
      <c r="BJ57" s="79"/>
      <c r="BK57" s="80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s="65" customFormat="1" ht="24.75" customHeight="1">
      <c r="A58" s="62"/>
      <c r="B58" s="112" t="s">
        <v>126</v>
      </c>
      <c r="C58" s="16">
        <f t="shared" si="12"/>
        <v>23024322.33000001</v>
      </c>
      <c r="D58" s="63">
        <f>17250131.02-892536-500000-233680-2641237-751161-12168600</f>
        <v>62917.01999999955</v>
      </c>
      <c r="E58" s="64">
        <f>8465550-3669550</f>
        <v>4796000</v>
      </c>
      <c r="F58" s="63">
        <v>0</v>
      </c>
      <c r="G58" s="63">
        <v>0</v>
      </c>
      <c r="H58" s="63">
        <f>62239653.34-62089653.34</f>
        <v>150000</v>
      </c>
      <c r="I58" s="63">
        <v>0</v>
      </c>
      <c r="J58" s="63">
        <v>0</v>
      </c>
      <c r="K58" s="63">
        <f>23350626.51-23350626.46</f>
        <v>0.05000000074505806</v>
      </c>
      <c r="L58" s="63">
        <v>0</v>
      </c>
      <c r="M58" s="63">
        <v>0</v>
      </c>
      <c r="N58" s="63">
        <f>54888936.96-54665067.23</f>
        <v>223869.73000000417</v>
      </c>
      <c r="O58" s="63">
        <v>0</v>
      </c>
      <c r="P58" s="63">
        <v>0</v>
      </c>
      <c r="Q58" s="63">
        <v>0</v>
      </c>
      <c r="R58" s="63">
        <f>52799650.52-52798307.39</f>
        <v>1343.1300000026822</v>
      </c>
      <c r="S58" s="63">
        <v>13899048.17</v>
      </c>
      <c r="T58" s="63">
        <v>0</v>
      </c>
      <c r="U58" s="63">
        <v>266.2</v>
      </c>
      <c r="V58" s="63">
        <v>0</v>
      </c>
      <c r="W58" s="63">
        <v>0</v>
      </c>
      <c r="X58" s="63">
        <f>2765672.83-2691450</f>
        <v>74222.83000000007</v>
      </c>
      <c r="Y58" s="63">
        <f>58782314.46-58113200.07</f>
        <v>669114.3900000006</v>
      </c>
      <c r="Z58" s="63">
        <v>0</v>
      </c>
      <c r="AA58" s="63">
        <v>417510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f>1660131.27-1644972.81</f>
        <v>15158.459999999963</v>
      </c>
      <c r="AJ58" s="63">
        <f>22045158.6-(2350532.5+6892097.69+9726550+3075976.41)</f>
        <v>2</v>
      </c>
      <c r="AK58" s="63">
        <v>0</v>
      </c>
      <c r="AL58" s="63">
        <v>75571.33</v>
      </c>
      <c r="AM58" s="63">
        <v>0</v>
      </c>
      <c r="AN58" s="63">
        <f>1994588.98-1992510</f>
        <v>2078.9799999999814</v>
      </c>
      <c r="AO58" s="63">
        <f>5485732.86-173317-1508000.51-3567111.06</f>
        <v>237304.2900000005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f>1060808.25-1058932</f>
        <v>1876.25</v>
      </c>
      <c r="AV58" s="63">
        <v>0</v>
      </c>
      <c r="AW58" s="63">
        <v>0</v>
      </c>
      <c r="AX58" s="63">
        <v>0</v>
      </c>
      <c r="AY58" s="63">
        <v>0</v>
      </c>
      <c r="AZ58" s="63">
        <f>39075126.35-39044284.29</f>
        <v>30842.060000002384</v>
      </c>
      <c r="BA58" s="63">
        <f>2663780-1905788</f>
        <v>757992</v>
      </c>
      <c r="BB58" s="63">
        <v>0</v>
      </c>
      <c r="BC58" s="63">
        <v>0</v>
      </c>
      <c r="BD58" s="63">
        <v>1607931.24</v>
      </c>
      <c r="BE58" s="63">
        <v>1274.2</v>
      </c>
      <c r="BF58" s="63">
        <v>0</v>
      </c>
      <c r="BG58" s="63">
        <v>0</v>
      </c>
      <c r="BH58" s="63">
        <v>0</v>
      </c>
      <c r="BI58" s="79"/>
      <c r="BJ58" s="79"/>
      <c r="BK58" s="80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</row>
    <row r="59" spans="1:63" s="46" customFormat="1" ht="28.5" customHeight="1">
      <c r="A59" s="43"/>
      <c r="B59" s="112" t="s">
        <v>127</v>
      </c>
      <c r="C59" s="16">
        <f t="shared" si="12"/>
        <v>2465390.62</v>
      </c>
      <c r="D59" s="45">
        <v>0</v>
      </c>
      <c r="E59" s="56">
        <v>2176625</v>
      </c>
      <c r="F59" s="45">
        <v>0</v>
      </c>
      <c r="G59" s="45">
        <v>0</v>
      </c>
      <c r="H59" s="45">
        <v>0</v>
      </c>
      <c r="I59" s="45">
        <v>0</v>
      </c>
      <c r="J59" s="45">
        <f>1348475.6-1167828.2</f>
        <v>180647.40000000014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174.01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f>179430.71-178356</f>
        <v>1074.7099999999919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106869.5</v>
      </c>
      <c r="BE59" s="45">
        <v>0</v>
      </c>
      <c r="BF59" s="45">
        <v>0</v>
      </c>
      <c r="BG59" s="45">
        <v>0</v>
      </c>
      <c r="BH59" s="45">
        <v>0</v>
      </c>
      <c r="BK59" s="78"/>
    </row>
    <row r="60" spans="1:63" s="65" customFormat="1" ht="24">
      <c r="A60" s="62"/>
      <c r="B60" s="113" t="s">
        <v>117</v>
      </c>
      <c r="C60" s="16">
        <f t="shared" si="12"/>
        <v>0</v>
      </c>
      <c r="D60" s="63">
        <v>0</v>
      </c>
      <c r="E60" s="64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3">
        <v>0</v>
      </c>
      <c r="BH60" s="63">
        <v>0</v>
      </c>
      <c r="BK60" s="60"/>
    </row>
    <row r="61" spans="1:63" s="65" customFormat="1" ht="24">
      <c r="A61" s="62"/>
      <c r="B61" s="113" t="s">
        <v>118</v>
      </c>
      <c r="C61" s="16">
        <f t="shared" si="12"/>
        <v>0</v>
      </c>
      <c r="D61" s="63">
        <v>0</v>
      </c>
      <c r="E61" s="64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K61" s="60"/>
    </row>
    <row r="62" spans="1:63" ht="12.75">
      <c r="A62" s="39"/>
      <c r="B62" s="114" t="s">
        <v>77</v>
      </c>
      <c r="C62" s="16">
        <f t="shared" si="12"/>
        <v>742028.0900000001</v>
      </c>
      <c r="D62" s="40">
        <v>56994.75</v>
      </c>
      <c r="E62" s="17">
        <v>35076.5</v>
      </c>
      <c r="F62" s="40">
        <v>106700.5</v>
      </c>
      <c r="G62" s="40">
        <v>5898.5</v>
      </c>
      <c r="H62" s="40">
        <v>15281.51</v>
      </c>
      <c r="I62" s="40">
        <v>16979.25</v>
      </c>
      <c r="J62" s="40">
        <v>9816.75</v>
      </c>
      <c r="K62" s="40">
        <v>113662.33</v>
      </c>
      <c r="L62" s="40">
        <v>83494.5</v>
      </c>
      <c r="M62" s="40">
        <v>21416.25</v>
      </c>
      <c r="N62" s="40">
        <v>7111.06</v>
      </c>
      <c r="O62" s="40">
        <v>21044.03</v>
      </c>
      <c r="P62" s="40">
        <v>77111.92</v>
      </c>
      <c r="Q62" s="40">
        <v>32857</v>
      </c>
      <c r="R62" s="40">
        <v>10612.5</v>
      </c>
      <c r="S62" s="40">
        <v>677.25</v>
      </c>
      <c r="T62" s="40">
        <v>0</v>
      </c>
      <c r="U62" s="40">
        <v>6351.25</v>
      </c>
      <c r="V62" s="40">
        <v>8390.5</v>
      </c>
      <c r="W62" s="40">
        <v>0</v>
      </c>
      <c r="X62" s="40">
        <v>1415.24</v>
      </c>
      <c r="Y62" s="40">
        <v>6684.5</v>
      </c>
      <c r="Z62" s="40">
        <v>1504.5</v>
      </c>
      <c r="AA62" s="40">
        <v>0</v>
      </c>
      <c r="AB62" s="40">
        <v>0</v>
      </c>
      <c r="AC62" s="40">
        <v>0</v>
      </c>
      <c r="AD62" s="40">
        <v>0</v>
      </c>
      <c r="AE62" s="40">
        <v>1725</v>
      </c>
      <c r="AF62" s="40">
        <v>0</v>
      </c>
      <c r="AG62" s="40">
        <v>0</v>
      </c>
      <c r="AH62" s="40">
        <v>1401.25</v>
      </c>
      <c r="AI62" s="40">
        <v>1629.75</v>
      </c>
      <c r="AJ62" s="40">
        <v>0.25</v>
      </c>
      <c r="AK62" s="40">
        <v>1289.25</v>
      </c>
      <c r="AL62" s="40">
        <v>0</v>
      </c>
      <c r="AM62" s="40">
        <v>0</v>
      </c>
      <c r="AN62" s="40">
        <v>534.5</v>
      </c>
      <c r="AO62" s="40">
        <v>11679.25</v>
      </c>
      <c r="AP62" s="40">
        <v>0</v>
      </c>
      <c r="AQ62" s="40">
        <v>4300</v>
      </c>
      <c r="AR62" s="40">
        <v>1422.75</v>
      </c>
      <c r="AS62" s="40">
        <v>3443.75</v>
      </c>
      <c r="AT62" s="40">
        <v>204.75</v>
      </c>
      <c r="AU62" s="40">
        <v>800</v>
      </c>
      <c r="AV62" s="40">
        <v>4268.25</v>
      </c>
      <c r="AW62" s="40">
        <v>6098.75</v>
      </c>
      <c r="AX62" s="40">
        <v>37.5</v>
      </c>
      <c r="AY62" s="40">
        <v>4680</v>
      </c>
      <c r="AZ62" s="40">
        <v>11491.25</v>
      </c>
      <c r="BA62" s="40">
        <v>0</v>
      </c>
      <c r="BB62" s="40">
        <v>0</v>
      </c>
      <c r="BC62" s="40">
        <v>0</v>
      </c>
      <c r="BD62" s="40">
        <v>75</v>
      </c>
      <c r="BE62" s="40">
        <v>3758.25</v>
      </c>
      <c r="BF62" s="40">
        <v>14719.5</v>
      </c>
      <c r="BG62" s="40">
        <v>25073.75</v>
      </c>
      <c r="BH62" s="40">
        <v>4314.75</v>
      </c>
      <c r="BK62" s="60"/>
    </row>
    <row r="63" spans="1:63" ht="12.75">
      <c r="A63" s="39"/>
      <c r="B63" s="114" t="s">
        <v>89</v>
      </c>
      <c r="C63" s="16">
        <f t="shared" si="12"/>
        <v>16940</v>
      </c>
      <c r="D63" s="40">
        <v>0</v>
      </c>
      <c r="E63" s="17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5000</v>
      </c>
      <c r="P63" s="40">
        <v>0</v>
      </c>
      <c r="Q63" s="40">
        <v>0</v>
      </c>
      <c r="R63" s="40">
        <v>0</v>
      </c>
      <c r="S63" s="40">
        <v>5000</v>
      </c>
      <c r="T63" s="40">
        <v>0</v>
      </c>
      <c r="U63" s="40">
        <v>0</v>
      </c>
      <c r="V63" s="40">
        <v>0</v>
      </c>
      <c r="W63" s="40">
        <v>5000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/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1940</v>
      </c>
      <c r="BK63" s="60"/>
    </row>
    <row r="64" spans="1:63" ht="13.5" thickBot="1">
      <c r="A64" s="15"/>
      <c r="B64" s="98"/>
      <c r="C64" s="16"/>
      <c r="D64" s="40"/>
      <c r="E64" s="17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K64" s="60"/>
    </row>
    <row r="65" spans="1:63" s="35" customFormat="1" ht="14.25" thickBot="1" thickTop="1">
      <c r="A65" s="48" t="s">
        <v>66</v>
      </c>
      <c r="B65" s="115" t="s">
        <v>92</v>
      </c>
      <c r="C65" s="49">
        <f aca="true" t="shared" si="13" ref="C65:C73">SUM(D65:BH65)</f>
        <v>40485692.312000014</v>
      </c>
      <c r="D65" s="49">
        <f aca="true" t="shared" si="14" ref="D65:AI65">SUM(D33,D44)</f>
        <v>317780.3699999997</v>
      </c>
      <c r="E65" s="49">
        <f t="shared" si="14"/>
        <v>7483132.2</v>
      </c>
      <c r="F65" s="49">
        <f t="shared" si="14"/>
        <v>1715496.5</v>
      </c>
      <c r="G65" s="49">
        <f t="shared" si="14"/>
        <v>1074574.4</v>
      </c>
      <c r="H65" s="49">
        <f t="shared" si="14"/>
        <v>916635.21</v>
      </c>
      <c r="I65" s="49">
        <f t="shared" si="14"/>
        <v>470727.67</v>
      </c>
      <c r="J65" s="49">
        <f t="shared" si="14"/>
        <v>1139908.3800000001</v>
      </c>
      <c r="K65" s="49">
        <f t="shared" si="14"/>
        <v>662351.4000000007</v>
      </c>
      <c r="L65" s="49">
        <f t="shared" si="14"/>
        <v>450592.6</v>
      </c>
      <c r="M65" s="49">
        <f t="shared" si="14"/>
        <v>899898.37</v>
      </c>
      <c r="N65" s="49">
        <f t="shared" si="14"/>
        <v>1031397.2600000042</v>
      </c>
      <c r="O65" s="49">
        <f t="shared" si="14"/>
        <v>679250.5</v>
      </c>
      <c r="P65" s="49">
        <f t="shared" si="14"/>
        <v>1357561.37</v>
      </c>
      <c r="Q65" s="94">
        <f>SUM(Q33,Q44)</f>
        <v>812985.85</v>
      </c>
      <c r="R65" s="49">
        <f t="shared" si="14"/>
        <v>56723.63000000268</v>
      </c>
      <c r="S65" s="49">
        <f t="shared" si="14"/>
        <v>13959389.162</v>
      </c>
      <c r="T65" s="49">
        <f t="shared" si="14"/>
        <v>243255</v>
      </c>
      <c r="U65" s="49">
        <f t="shared" si="14"/>
        <v>376711.52</v>
      </c>
      <c r="V65" s="49">
        <f t="shared" si="14"/>
        <v>49490.5</v>
      </c>
      <c r="W65" s="49">
        <f t="shared" si="14"/>
        <v>171600</v>
      </c>
      <c r="X65" s="49">
        <f t="shared" si="14"/>
        <v>574203.4800000001</v>
      </c>
      <c r="Y65" s="49">
        <f t="shared" si="14"/>
        <v>773939.8900000006</v>
      </c>
      <c r="Z65" s="49">
        <f t="shared" si="14"/>
        <v>1504.5</v>
      </c>
      <c r="AA65" s="49">
        <f t="shared" si="14"/>
        <v>480689.18</v>
      </c>
      <c r="AB65" s="49">
        <f t="shared" si="14"/>
        <v>25</v>
      </c>
      <c r="AC65" s="49">
        <f t="shared" si="14"/>
        <v>76298.75000000006</v>
      </c>
      <c r="AD65" s="49">
        <f t="shared" si="14"/>
        <v>3640</v>
      </c>
      <c r="AE65" s="49">
        <f t="shared" si="14"/>
        <v>41732</v>
      </c>
      <c r="AF65" s="49">
        <f t="shared" si="14"/>
        <v>0</v>
      </c>
      <c r="AG65" s="49">
        <f t="shared" si="14"/>
        <v>2247.53</v>
      </c>
      <c r="AH65" s="49">
        <f t="shared" si="14"/>
        <v>23959.34</v>
      </c>
      <c r="AI65" s="49">
        <f t="shared" si="14"/>
        <v>31193.209999999963</v>
      </c>
      <c r="AJ65" s="49">
        <f aca="true" t="shared" si="15" ref="AJ65:BH65">SUM(AJ33,AJ44)</f>
        <v>7120.920000000587</v>
      </c>
      <c r="AK65" s="49">
        <f t="shared" si="15"/>
        <v>118389.25</v>
      </c>
      <c r="AL65" s="49">
        <f t="shared" si="15"/>
        <v>166122.68</v>
      </c>
      <c r="AM65" s="49">
        <f t="shared" si="15"/>
        <v>4980</v>
      </c>
      <c r="AN65" s="49">
        <f t="shared" si="15"/>
        <v>85518.85999999999</v>
      </c>
      <c r="AO65" s="49">
        <f t="shared" si="15"/>
        <v>1143912.2400000005</v>
      </c>
      <c r="AP65" s="49">
        <f t="shared" si="15"/>
        <v>13516</v>
      </c>
      <c r="AQ65" s="49">
        <f t="shared" si="15"/>
        <v>5457</v>
      </c>
      <c r="AR65" s="49">
        <f t="shared" si="15"/>
        <v>16422.75</v>
      </c>
      <c r="AS65" s="49">
        <f t="shared" si="15"/>
        <v>12453.75</v>
      </c>
      <c r="AT65" s="49">
        <f t="shared" si="15"/>
        <v>30204.75</v>
      </c>
      <c r="AU65" s="49">
        <f t="shared" si="15"/>
        <v>44426.07</v>
      </c>
      <c r="AV65" s="49">
        <f t="shared" si="15"/>
        <v>4268.25</v>
      </c>
      <c r="AW65" s="49">
        <f t="shared" si="15"/>
        <v>42947.67</v>
      </c>
      <c r="AX65" s="49">
        <f t="shared" si="15"/>
        <v>27564.5</v>
      </c>
      <c r="AY65" s="49">
        <f t="shared" si="15"/>
        <v>4680</v>
      </c>
      <c r="AZ65" s="49">
        <f t="shared" si="15"/>
        <v>58637.380000002384</v>
      </c>
      <c r="BA65" s="49">
        <f t="shared" si="15"/>
        <v>760392.44</v>
      </c>
      <c r="BB65" s="49">
        <f t="shared" si="15"/>
        <v>22745</v>
      </c>
      <c r="BC65" s="49">
        <f t="shared" si="15"/>
        <v>46212.66</v>
      </c>
      <c r="BD65" s="49">
        <f t="shared" si="15"/>
        <v>1762996.0499999998</v>
      </c>
      <c r="BE65" s="49">
        <f t="shared" si="15"/>
        <v>17337.73000000001</v>
      </c>
      <c r="BF65" s="49">
        <f t="shared" si="15"/>
        <v>47947.81</v>
      </c>
      <c r="BG65" s="49">
        <f t="shared" si="15"/>
        <v>64580.489999999685</v>
      </c>
      <c r="BH65" s="49">
        <f t="shared" si="15"/>
        <v>97963.29000000001</v>
      </c>
      <c r="BK65" s="60"/>
    </row>
    <row r="66" spans="1:63" s="38" customFormat="1" ht="14.25" thickBot="1" thickTop="1">
      <c r="A66" s="50" t="s">
        <v>68</v>
      </c>
      <c r="B66" s="105" t="s">
        <v>94</v>
      </c>
      <c r="C66" s="51">
        <f t="shared" si="13"/>
        <v>-18163827.20200001</v>
      </c>
      <c r="D66" s="51">
        <f aca="true" t="shared" si="16" ref="D66:AI66">D29-D65</f>
        <v>432219.6300000003</v>
      </c>
      <c r="E66" s="51">
        <f t="shared" si="16"/>
        <v>-7483132.2</v>
      </c>
      <c r="F66" s="51">
        <f t="shared" si="16"/>
        <v>-1376625.65</v>
      </c>
      <c r="G66" s="51">
        <f t="shared" si="16"/>
        <v>-1074574.4</v>
      </c>
      <c r="H66" s="51">
        <f t="shared" si="16"/>
        <v>133092.08999999985</v>
      </c>
      <c r="I66" s="51">
        <f t="shared" si="16"/>
        <v>1846570.8900000001</v>
      </c>
      <c r="J66" s="51">
        <f t="shared" si="16"/>
        <v>-983697.3800000001</v>
      </c>
      <c r="K66" s="51">
        <f t="shared" si="16"/>
        <v>-662351.4000000007</v>
      </c>
      <c r="L66" s="51">
        <f t="shared" si="16"/>
        <v>932171.13</v>
      </c>
      <c r="M66" s="51">
        <f t="shared" si="16"/>
        <v>795040.6900000001</v>
      </c>
      <c r="N66" s="51">
        <f t="shared" si="16"/>
        <v>-898559.5800000043</v>
      </c>
      <c r="O66" s="51">
        <f t="shared" si="16"/>
        <v>8267202.18</v>
      </c>
      <c r="P66" s="51">
        <f t="shared" si="16"/>
        <v>-1357561.37</v>
      </c>
      <c r="Q66" s="92">
        <f t="shared" si="16"/>
        <v>1209039.5</v>
      </c>
      <c r="R66" s="51">
        <f t="shared" si="16"/>
        <v>171431.76999999734</v>
      </c>
      <c r="S66" s="51">
        <f t="shared" si="16"/>
        <v>-13959389.162</v>
      </c>
      <c r="T66" s="51">
        <f t="shared" si="16"/>
        <v>-63154</v>
      </c>
      <c r="U66" s="51">
        <f t="shared" si="16"/>
        <v>-376711.52</v>
      </c>
      <c r="V66" s="51">
        <f t="shared" si="16"/>
        <v>509.5</v>
      </c>
      <c r="W66" s="51">
        <f t="shared" si="16"/>
        <v>87257.04999999999</v>
      </c>
      <c r="X66" s="51">
        <f t="shared" si="16"/>
        <v>162498.19999999984</v>
      </c>
      <c r="Y66" s="51">
        <f t="shared" si="16"/>
        <v>-253372.8900000006</v>
      </c>
      <c r="Z66" s="51">
        <f t="shared" si="16"/>
        <v>18732.85</v>
      </c>
      <c r="AA66" s="51">
        <f t="shared" si="16"/>
        <v>-480689.18</v>
      </c>
      <c r="AB66" s="51">
        <f t="shared" si="16"/>
        <v>-25</v>
      </c>
      <c r="AC66" s="51">
        <f t="shared" si="16"/>
        <v>229631.89999999997</v>
      </c>
      <c r="AD66" s="51">
        <f t="shared" si="16"/>
        <v>-2221</v>
      </c>
      <c r="AE66" s="51">
        <f t="shared" si="16"/>
        <v>-41732</v>
      </c>
      <c r="AF66" s="51">
        <f t="shared" si="16"/>
        <v>0</v>
      </c>
      <c r="AG66" s="51">
        <f t="shared" si="16"/>
        <v>-2003.2800000000002</v>
      </c>
      <c r="AH66" s="51">
        <f t="shared" si="16"/>
        <v>-23959.34</v>
      </c>
      <c r="AI66" s="51">
        <f t="shared" si="16"/>
        <v>-31193.209999999963</v>
      </c>
      <c r="AJ66" s="51">
        <f aca="true" t="shared" si="17" ref="AJ66:BH66">AJ29-AJ65</f>
        <v>-7120.920000000587</v>
      </c>
      <c r="AK66" s="51">
        <f t="shared" si="17"/>
        <v>38843.75</v>
      </c>
      <c r="AL66" s="51">
        <f t="shared" si="17"/>
        <v>-166122.68</v>
      </c>
      <c r="AM66" s="51">
        <f t="shared" si="17"/>
        <v>-4980</v>
      </c>
      <c r="AN66" s="51">
        <f t="shared" si="17"/>
        <v>-85518.85999999999</v>
      </c>
      <c r="AO66" s="51">
        <f t="shared" si="17"/>
        <v>-1143912.2400000005</v>
      </c>
      <c r="AP66" s="51">
        <f t="shared" si="17"/>
        <v>-12826</v>
      </c>
      <c r="AQ66" s="51">
        <f t="shared" si="17"/>
        <v>-5457</v>
      </c>
      <c r="AR66" s="51">
        <f t="shared" si="17"/>
        <v>-16422.75</v>
      </c>
      <c r="AS66" s="51">
        <f t="shared" si="17"/>
        <v>-12453.75</v>
      </c>
      <c r="AT66" s="51">
        <f t="shared" si="17"/>
        <v>-30204.75</v>
      </c>
      <c r="AU66" s="51">
        <f t="shared" si="17"/>
        <v>-44426.07</v>
      </c>
      <c r="AV66" s="51">
        <f t="shared" si="17"/>
        <v>-4268.25</v>
      </c>
      <c r="AW66" s="51">
        <f t="shared" si="17"/>
        <v>-42947.67</v>
      </c>
      <c r="AX66" s="51">
        <f t="shared" si="17"/>
        <v>-27564.5</v>
      </c>
      <c r="AY66" s="51">
        <f t="shared" si="17"/>
        <v>-4680</v>
      </c>
      <c r="AZ66" s="51">
        <f t="shared" si="17"/>
        <v>166458.9499999976</v>
      </c>
      <c r="BA66" s="51">
        <f t="shared" si="17"/>
        <v>-758805.44</v>
      </c>
      <c r="BB66" s="51">
        <f t="shared" si="17"/>
        <v>-22745</v>
      </c>
      <c r="BC66" s="51">
        <f t="shared" si="17"/>
        <v>-46212.66</v>
      </c>
      <c r="BD66" s="51">
        <f t="shared" si="17"/>
        <v>-1762996.0499999998</v>
      </c>
      <c r="BE66" s="51">
        <f t="shared" si="17"/>
        <v>-17337.73000000001</v>
      </c>
      <c r="BF66" s="51">
        <f t="shared" si="17"/>
        <v>-47947.81</v>
      </c>
      <c r="BG66" s="92">
        <f t="shared" si="17"/>
        <v>779338.7000000003</v>
      </c>
      <c r="BH66" s="51">
        <f t="shared" si="17"/>
        <v>-97963.29000000001</v>
      </c>
      <c r="BK66" s="60"/>
    </row>
    <row r="67" spans="1:63" ht="13.5" hidden="1" thickTop="1">
      <c r="A67" s="15" t="s">
        <v>69</v>
      </c>
      <c r="B67" s="74" t="s">
        <v>74</v>
      </c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K67" s="60"/>
    </row>
    <row r="68" spans="1:63" ht="12.75" hidden="1">
      <c r="A68" s="15"/>
      <c r="B68" s="74" t="s">
        <v>73</v>
      </c>
      <c r="C68" s="16">
        <f t="shared" si="13"/>
        <v>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K68" s="60"/>
    </row>
    <row r="69" spans="1:63" ht="12.75" hidden="1">
      <c r="A69" s="15"/>
      <c r="B69" s="74" t="s">
        <v>80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K69" s="60"/>
    </row>
    <row r="70" spans="1:63" ht="12.75" hidden="1">
      <c r="A70" s="15"/>
      <c r="B70" s="74" t="s">
        <v>81</v>
      </c>
      <c r="C70" s="16">
        <f t="shared" si="13"/>
        <v>0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K70" s="60"/>
    </row>
    <row r="71" spans="1:63" ht="12.75" hidden="1">
      <c r="A71" s="15"/>
      <c r="B71" s="74" t="s">
        <v>76</v>
      </c>
      <c r="C71" s="16">
        <f t="shared" si="13"/>
        <v>0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K71" s="60"/>
    </row>
    <row r="72" spans="1:63" ht="12.75" hidden="1">
      <c r="A72" s="15"/>
      <c r="B72" s="75" t="s">
        <v>75</v>
      </c>
      <c r="C72" s="16">
        <f t="shared" si="13"/>
        <v>0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K72" s="60"/>
    </row>
    <row r="73" spans="1:63" ht="13.5" hidden="1" thickBot="1">
      <c r="A73" s="52"/>
      <c r="B73" s="76" t="s">
        <v>82</v>
      </c>
      <c r="C73" s="53">
        <f t="shared" si="13"/>
        <v>0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K73" s="60"/>
    </row>
    <row r="74" ht="13.5" thickTop="1">
      <c r="AW74" s="3"/>
    </row>
    <row r="75" spans="2:60" ht="12.75" hidden="1">
      <c r="B75" s="77" t="s">
        <v>83</v>
      </c>
      <c r="C75" s="61">
        <f aca="true" t="shared" si="18" ref="C75:AH75">SUM(C37:C39)</f>
        <v>2713522.39</v>
      </c>
      <c r="D75" s="61">
        <f t="shared" si="18"/>
        <v>0</v>
      </c>
      <c r="E75" s="61">
        <f t="shared" si="18"/>
        <v>242795.14</v>
      </c>
      <c r="F75" s="61">
        <f t="shared" si="18"/>
        <v>0</v>
      </c>
      <c r="G75" s="61">
        <f t="shared" si="18"/>
        <v>0</v>
      </c>
      <c r="H75" s="61">
        <f t="shared" si="18"/>
        <v>384223</v>
      </c>
      <c r="I75" s="61">
        <f t="shared" si="18"/>
        <v>51687.34</v>
      </c>
      <c r="J75" s="61">
        <f t="shared" si="18"/>
        <v>24208.35</v>
      </c>
      <c r="K75" s="61">
        <f t="shared" si="18"/>
        <v>0</v>
      </c>
      <c r="L75" s="61">
        <f t="shared" si="18"/>
        <v>0</v>
      </c>
      <c r="M75" s="61">
        <f t="shared" si="18"/>
        <v>50500.99</v>
      </c>
      <c r="N75" s="61">
        <f t="shared" si="18"/>
        <v>397166.62</v>
      </c>
      <c r="O75" s="61">
        <f t="shared" si="18"/>
        <v>0</v>
      </c>
      <c r="P75" s="61">
        <f t="shared" si="18"/>
        <v>648114.43</v>
      </c>
      <c r="Q75" s="61">
        <f t="shared" si="18"/>
        <v>153100.2</v>
      </c>
      <c r="R75" s="61">
        <f t="shared" si="18"/>
        <v>0</v>
      </c>
      <c r="S75" s="61">
        <f t="shared" si="18"/>
        <v>52564.25</v>
      </c>
      <c r="T75" s="61">
        <f t="shared" si="18"/>
        <v>0</v>
      </c>
      <c r="U75" s="61">
        <f t="shared" si="18"/>
        <v>292624.07</v>
      </c>
      <c r="V75" s="61">
        <f t="shared" si="18"/>
        <v>0</v>
      </c>
      <c r="W75" s="61">
        <f t="shared" si="18"/>
        <v>0</v>
      </c>
      <c r="X75" s="61">
        <f t="shared" si="18"/>
        <v>416538</v>
      </c>
      <c r="Y75" s="61">
        <f t="shared" si="18"/>
        <v>0</v>
      </c>
      <c r="Z75" s="61">
        <f t="shared" si="18"/>
        <v>0</v>
      </c>
      <c r="AA75" s="61">
        <f t="shared" si="18"/>
        <v>0</v>
      </c>
      <c r="AB75" s="61">
        <f t="shared" si="18"/>
        <v>0</v>
      </c>
      <c r="AC75" s="61">
        <f t="shared" si="18"/>
        <v>0</v>
      </c>
      <c r="AD75" s="61">
        <f t="shared" si="18"/>
        <v>0</v>
      </c>
      <c r="AE75" s="61">
        <f t="shared" si="18"/>
        <v>0</v>
      </c>
      <c r="AF75" s="61">
        <f t="shared" si="18"/>
        <v>0</v>
      </c>
      <c r="AG75" s="61">
        <f t="shared" si="18"/>
        <v>0</v>
      </c>
      <c r="AH75" s="61">
        <f t="shared" si="18"/>
        <v>0</v>
      </c>
      <c r="AI75" s="61">
        <f aca="true" t="shared" si="19" ref="AI75:BH75">SUM(AI37:AI39)</f>
        <v>0</v>
      </c>
      <c r="AJ75" s="61">
        <f t="shared" si="19"/>
        <v>0</v>
      </c>
      <c r="AK75" s="61">
        <f t="shared" si="19"/>
        <v>0</v>
      </c>
      <c r="AL75" s="61">
        <f t="shared" si="19"/>
        <v>0</v>
      </c>
      <c r="AM75" s="61">
        <f t="shared" si="19"/>
        <v>0</v>
      </c>
      <c r="AN75" s="61">
        <f t="shared" si="19"/>
        <v>0</v>
      </c>
      <c r="AO75" s="61">
        <f t="shared" si="19"/>
        <v>0</v>
      </c>
      <c r="AP75" s="61">
        <f t="shared" si="19"/>
        <v>0</v>
      </c>
      <c r="AQ75" s="61">
        <f t="shared" si="19"/>
        <v>0</v>
      </c>
      <c r="AR75" s="61">
        <f t="shared" si="19"/>
        <v>0</v>
      </c>
      <c r="AS75" s="61">
        <f t="shared" si="19"/>
        <v>0</v>
      </c>
      <c r="AT75" s="61">
        <f t="shared" si="19"/>
        <v>0</v>
      </c>
      <c r="AU75" s="61">
        <f t="shared" si="19"/>
        <v>0</v>
      </c>
      <c r="AV75" s="61">
        <f t="shared" si="19"/>
        <v>0</v>
      </c>
      <c r="AW75" s="61">
        <f t="shared" si="19"/>
        <v>0</v>
      </c>
      <c r="AX75" s="61">
        <f t="shared" si="19"/>
        <v>0</v>
      </c>
      <c r="AY75" s="61">
        <f t="shared" si="19"/>
        <v>0</v>
      </c>
      <c r="AZ75" s="61">
        <f t="shared" si="19"/>
        <v>0</v>
      </c>
      <c r="BA75" s="61">
        <f t="shared" si="19"/>
        <v>0</v>
      </c>
      <c r="BB75" s="61">
        <f t="shared" si="19"/>
        <v>0</v>
      </c>
      <c r="BC75" s="61">
        <f t="shared" si="19"/>
        <v>0</v>
      </c>
      <c r="BD75" s="61">
        <f t="shared" si="19"/>
        <v>0</v>
      </c>
      <c r="BE75" s="61">
        <f t="shared" si="19"/>
        <v>0</v>
      </c>
      <c r="BF75" s="61">
        <f t="shared" si="19"/>
        <v>0</v>
      </c>
      <c r="BG75" s="61">
        <f t="shared" si="19"/>
        <v>0</v>
      </c>
      <c r="BH75" s="61">
        <f t="shared" si="19"/>
        <v>0</v>
      </c>
    </row>
    <row r="76" spans="2:60" ht="12.75" hidden="1">
      <c r="B76" s="77" t="s">
        <v>84</v>
      </c>
      <c r="C76" s="61">
        <f aca="true" t="shared" si="20" ref="C76:AH76">SUM(C35,C40,C42)</f>
        <v>654992.9299999999</v>
      </c>
      <c r="D76" s="61">
        <f t="shared" si="20"/>
        <v>0</v>
      </c>
      <c r="E76" s="61">
        <f t="shared" si="20"/>
        <v>7018.39</v>
      </c>
      <c r="F76" s="61">
        <f t="shared" si="20"/>
        <v>0</v>
      </c>
      <c r="G76" s="61">
        <f t="shared" si="20"/>
        <v>0</v>
      </c>
      <c r="H76" s="61">
        <f t="shared" si="20"/>
        <v>0</v>
      </c>
      <c r="I76" s="61">
        <f t="shared" si="20"/>
        <v>0</v>
      </c>
      <c r="J76" s="61">
        <f t="shared" si="20"/>
        <v>399606.21</v>
      </c>
      <c r="K76" s="61">
        <f t="shared" si="20"/>
        <v>0</v>
      </c>
      <c r="L76" s="61">
        <f t="shared" si="20"/>
        <v>0</v>
      </c>
      <c r="M76" s="61">
        <f t="shared" si="20"/>
        <v>0</v>
      </c>
      <c r="N76" s="61">
        <f t="shared" si="20"/>
        <v>0</v>
      </c>
      <c r="O76" s="61">
        <f t="shared" si="20"/>
        <v>0</v>
      </c>
      <c r="P76" s="61">
        <f t="shared" si="20"/>
        <v>137521.7</v>
      </c>
      <c r="Q76" s="61">
        <f t="shared" si="20"/>
        <v>0</v>
      </c>
      <c r="R76" s="61">
        <f t="shared" si="20"/>
        <v>0</v>
      </c>
      <c r="S76" s="61">
        <f t="shared" si="20"/>
        <v>0</v>
      </c>
      <c r="T76" s="61">
        <f t="shared" si="20"/>
        <v>0</v>
      </c>
      <c r="U76" s="61">
        <f t="shared" si="20"/>
        <v>0</v>
      </c>
      <c r="V76" s="61">
        <f t="shared" si="20"/>
        <v>0</v>
      </c>
      <c r="W76" s="61">
        <f t="shared" si="20"/>
        <v>0</v>
      </c>
      <c r="X76" s="61">
        <f t="shared" si="20"/>
        <v>191.19</v>
      </c>
      <c r="Y76" s="61">
        <f t="shared" si="20"/>
        <v>0</v>
      </c>
      <c r="Z76" s="61">
        <f t="shared" si="20"/>
        <v>0</v>
      </c>
      <c r="AA76" s="61">
        <f t="shared" si="20"/>
        <v>0</v>
      </c>
      <c r="AB76" s="61">
        <f t="shared" si="20"/>
        <v>0</v>
      </c>
      <c r="AC76" s="61">
        <f t="shared" si="20"/>
        <v>0</v>
      </c>
      <c r="AD76" s="61">
        <f t="shared" si="20"/>
        <v>0</v>
      </c>
      <c r="AE76" s="61">
        <f t="shared" si="20"/>
        <v>0</v>
      </c>
      <c r="AF76" s="61">
        <f t="shared" si="20"/>
        <v>0</v>
      </c>
      <c r="AG76" s="61">
        <f t="shared" si="20"/>
        <v>1800.2</v>
      </c>
      <c r="AH76" s="61">
        <f t="shared" si="20"/>
        <v>0</v>
      </c>
      <c r="AI76" s="61">
        <f aca="true" t="shared" si="21" ref="AI76:BH76">SUM(AI35,AI40,AI42)</f>
        <v>0</v>
      </c>
      <c r="AJ76" s="61">
        <f t="shared" si="21"/>
        <v>6000.2</v>
      </c>
      <c r="AK76" s="61">
        <f t="shared" si="21"/>
        <v>0</v>
      </c>
      <c r="AL76" s="61">
        <f t="shared" si="21"/>
        <v>0</v>
      </c>
      <c r="AM76" s="61">
        <f t="shared" si="21"/>
        <v>0</v>
      </c>
      <c r="AN76" s="61">
        <f t="shared" si="21"/>
        <v>0</v>
      </c>
      <c r="AO76" s="61">
        <f t="shared" si="21"/>
        <v>0</v>
      </c>
      <c r="AP76" s="61">
        <f t="shared" si="21"/>
        <v>0</v>
      </c>
      <c r="AQ76" s="61">
        <f t="shared" si="21"/>
        <v>0</v>
      </c>
      <c r="AR76" s="61">
        <f t="shared" si="21"/>
        <v>0</v>
      </c>
      <c r="AS76" s="61">
        <f t="shared" si="21"/>
        <v>0</v>
      </c>
      <c r="AT76" s="61">
        <f t="shared" si="21"/>
        <v>0</v>
      </c>
      <c r="AU76" s="61">
        <f t="shared" si="21"/>
        <v>0</v>
      </c>
      <c r="AV76" s="61">
        <f t="shared" si="21"/>
        <v>0</v>
      </c>
      <c r="AW76" s="61">
        <f t="shared" si="21"/>
        <v>11843</v>
      </c>
      <c r="AX76" s="61">
        <f t="shared" si="21"/>
        <v>27527</v>
      </c>
      <c r="AY76" s="61">
        <f t="shared" si="21"/>
        <v>0</v>
      </c>
      <c r="AZ76" s="61">
        <f t="shared" si="21"/>
        <v>16304.07</v>
      </c>
      <c r="BA76" s="61">
        <f t="shared" si="21"/>
        <v>0</v>
      </c>
      <c r="BB76" s="61">
        <f t="shared" si="21"/>
        <v>0</v>
      </c>
      <c r="BC76" s="61">
        <f t="shared" si="21"/>
        <v>26212.66</v>
      </c>
      <c r="BD76" s="61">
        <f t="shared" si="21"/>
        <v>0</v>
      </c>
      <c r="BE76" s="61">
        <f t="shared" si="21"/>
        <v>0</v>
      </c>
      <c r="BF76" s="61">
        <f t="shared" si="21"/>
        <v>20968.31</v>
      </c>
      <c r="BG76" s="61">
        <f t="shared" si="21"/>
        <v>0</v>
      </c>
      <c r="BH76" s="61">
        <f t="shared" si="21"/>
        <v>0</v>
      </c>
    </row>
    <row r="77" ht="12.75" hidden="1">
      <c r="C77" s="61"/>
    </row>
    <row r="78" ht="12.75" hidden="1"/>
    <row r="79" spans="2:60" s="61" customFormat="1" ht="12.75" hidden="1">
      <c r="B79" s="77" t="s">
        <v>95</v>
      </c>
      <c r="C79" s="61">
        <f aca="true" t="shared" si="22" ref="C79:AH79">SUM(C12-C33)</f>
        <v>-5624124.610000001</v>
      </c>
      <c r="D79" s="61">
        <f t="shared" si="22"/>
        <v>-43002.94</v>
      </c>
      <c r="E79" s="61">
        <f t="shared" si="22"/>
        <v>-272063.53</v>
      </c>
      <c r="F79" s="61">
        <f t="shared" si="22"/>
        <v>-1255421</v>
      </c>
      <c r="G79" s="61">
        <f t="shared" si="22"/>
        <v>-573037</v>
      </c>
      <c r="H79" s="61">
        <f t="shared" si="22"/>
        <v>276809.76999999996</v>
      </c>
      <c r="I79" s="61">
        <f t="shared" si="22"/>
        <v>141511.99000000002</v>
      </c>
      <c r="J79" s="61">
        <f t="shared" si="22"/>
        <v>-857233.23</v>
      </c>
      <c r="K79" s="61">
        <f t="shared" si="22"/>
        <v>-210516.92</v>
      </c>
      <c r="L79" s="61">
        <f t="shared" si="22"/>
        <v>1142739.63</v>
      </c>
      <c r="M79" s="61">
        <f t="shared" si="22"/>
        <v>-348328.82999999996</v>
      </c>
      <c r="N79" s="61">
        <f t="shared" si="22"/>
        <v>-442122.07</v>
      </c>
      <c r="O79" s="61">
        <f t="shared" si="22"/>
        <v>-316467.5</v>
      </c>
      <c r="P79" s="61">
        <f t="shared" si="22"/>
        <v>-1226887.4500000002</v>
      </c>
      <c r="Q79" s="61">
        <f t="shared" si="22"/>
        <v>102946.69</v>
      </c>
      <c r="R79" s="61">
        <f t="shared" si="22"/>
        <v>0</v>
      </c>
      <c r="S79" s="61">
        <f t="shared" si="22"/>
        <v>-52564.25</v>
      </c>
      <c r="T79" s="61">
        <f t="shared" si="22"/>
        <v>-145075</v>
      </c>
      <c r="U79" s="61">
        <f t="shared" si="22"/>
        <v>-292624.07</v>
      </c>
      <c r="V79" s="61">
        <f t="shared" si="22"/>
        <v>50000</v>
      </c>
      <c r="W79" s="61">
        <f t="shared" si="22"/>
        <v>87223.55</v>
      </c>
      <c r="X79" s="61">
        <f t="shared" si="22"/>
        <v>-416729.19</v>
      </c>
      <c r="Y79" s="61">
        <f t="shared" si="22"/>
        <v>-57774</v>
      </c>
      <c r="Z79" s="61">
        <f t="shared" si="22"/>
        <v>20237.35</v>
      </c>
      <c r="AA79" s="61">
        <f t="shared" si="22"/>
        <v>0</v>
      </c>
      <c r="AB79" s="61">
        <f t="shared" si="22"/>
        <v>0</v>
      </c>
      <c r="AC79" s="61">
        <f t="shared" si="22"/>
        <v>0</v>
      </c>
      <c r="AD79" s="61">
        <f t="shared" si="22"/>
        <v>0</v>
      </c>
      <c r="AE79" s="61">
        <f t="shared" si="22"/>
        <v>0</v>
      </c>
      <c r="AF79" s="61">
        <f t="shared" si="22"/>
        <v>0</v>
      </c>
      <c r="AG79" s="61">
        <f t="shared" si="22"/>
        <v>-1800.2</v>
      </c>
      <c r="AH79" s="61">
        <f t="shared" si="22"/>
        <v>0</v>
      </c>
      <c r="AI79" s="61">
        <f aca="true" t="shared" si="23" ref="AI79:BH79">SUM(AI12-AI33)</f>
        <v>0</v>
      </c>
      <c r="AJ79" s="61">
        <f t="shared" si="23"/>
        <v>-6000.2</v>
      </c>
      <c r="AK79" s="61">
        <f t="shared" si="23"/>
        <v>0</v>
      </c>
      <c r="AL79" s="61">
        <f t="shared" si="23"/>
        <v>0</v>
      </c>
      <c r="AM79" s="61">
        <f t="shared" si="23"/>
        <v>0</v>
      </c>
      <c r="AN79" s="61">
        <f t="shared" si="23"/>
        <v>0</v>
      </c>
      <c r="AO79" s="61">
        <f t="shared" si="23"/>
        <v>-825090.24</v>
      </c>
      <c r="AP79" s="61">
        <f t="shared" si="23"/>
        <v>0</v>
      </c>
      <c r="AQ79" s="61">
        <f t="shared" si="23"/>
        <v>0</v>
      </c>
      <c r="AR79" s="61">
        <f t="shared" si="23"/>
        <v>0</v>
      </c>
      <c r="AS79" s="61">
        <f t="shared" si="23"/>
        <v>0</v>
      </c>
      <c r="AT79" s="61">
        <f t="shared" si="23"/>
        <v>0</v>
      </c>
      <c r="AU79" s="61">
        <f t="shared" si="23"/>
        <v>0</v>
      </c>
      <c r="AV79" s="61">
        <f t="shared" si="23"/>
        <v>0</v>
      </c>
      <c r="AW79" s="61">
        <f t="shared" si="23"/>
        <v>-11843</v>
      </c>
      <c r="AX79" s="61">
        <f t="shared" si="23"/>
        <v>-27527</v>
      </c>
      <c r="AY79" s="61">
        <f t="shared" si="23"/>
        <v>0</v>
      </c>
      <c r="AZ79" s="61">
        <f t="shared" si="23"/>
        <v>-16304.07</v>
      </c>
      <c r="BA79" s="61">
        <f t="shared" si="23"/>
        <v>0</v>
      </c>
      <c r="BB79" s="61">
        <f t="shared" si="23"/>
        <v>0</v>
      </c>
      <c r="BC79" s="61">
        <f t="shared" si="23"/>
        <v>-26212.66</v>
      </c>
      <c r="BD79" s="61">
        <f t="shared" si="23"/>
        <v>0</v>
      </c>
      <c r="BE79" s="61">
        <f t="shared" si="23"/>
        <v>0</v>
      </c>
      <c r="BF79" s="61">
        <f t="shared" si="23"/>
        <v>-20968.31</v>
      </c>
      <c r="BG79" s="61">
        <f t="shared" si="23"/>
        <v>-0.93</v>
      </c>
      <c r="BH79" s="61">
        <f t="shared" si="23"/>
        <v>0</v>
      </c>
    </row>
    <row r="80" spans="2:60" s="61" customFormat="1" ht="12.75" hidden="1">
      <c r="B80" s="77" t="s">
        <v>96</v>
      </c>
      <c r="C80" s="61">
        <f aca="true" t="shared" si="24" ref="C80:AH80">SUM(C17-C44)</f>
        <v>-12539702.592000011</v>
      </c>
      <c r="D80" s="61">
        <f t="shared" si="24"/>
        <v>475222.5700000003</v>
      </c>
      <c r="E80" s="61">
        <f t="shared" si="24"/>
        <v>-7211068.67</v>
      </c>
      <c r="F80" s="61">
        <f t="shared" si="24"/>
        <v>-121204.65000000002</v>
      </c>
      <c r="G80" s="61">
        <f t="shared" si="24"/>
        <v>-501537.4</v>
      </c>
      <c r="H80" s="61">
        <f t="shared" si="24"/>
        <v>-143717.68000000005</v>
      </c>
      <c r="I80" s="61">
        <f t="shared" si="24"/>
        <v>1705058.9000000001</v>
      </c>
      <c r="J80" s="61">
        <f t="shared" si="24"/>
        <v>-126464.15000000014</v>
      </c>
      <c r="K80" s="61">
        <f t="shared" si="24"/>
        <v>-451834.48000000074</v>
      </c>
      <c r="L80" s="61">
        <f t="shared" si="24"/>
        <v>-210568.5</v>
      </c>
      <c r="M80" s="61">
        <f t="shared" si="24"/>
        <v>1143369.52</v>
      </c>
      <c r="N80" s="61">
        <f t="shared" si="24"/>
        <v>-456437.51000000426</v>
      </c>
      <c r="O80" s="61">
        <f t="shared" si="24"/>
        <v>8583669.68</v>
      </c>
      <c r="P80" s="61">
        <f t="shared" si="24"/>
        <v>-130673.92</v>
      </c>
      <c r="Q80" s="61">
        <f t="shared" si="24"/>
        <v>1106092.8099999998</v>
      </c>
      <c r="R80" s="61">
        <f t="shared" si="24"/>
        <v>171431.76999999734</v>
      </c>
      <c r="S80" s="61">
        <f t="shared" si="24"/>
        <v>-13906824.912</v>
      </c>
      <c r="T80" s="61">
        <f t="shared" si="24"/>
        <v>81921</v>
      </c>
      <c r="U80" s="61">
        <f t="shared" si="24"/>
        <v>-84087.45</v>
      </c>
      <c r="V80" s="61">
        <f t="shared" si="24"/>
        <v>-49490.5</v>
      </c>
      <c r="W80" s="61">
        <f t="shared" si="24"/>
        <v>33.5</v>
      </c>
      <c r="X80" s="61">
        <f t="shared" si="24"/>
        <v>579227.3899999999</v>
      </c>
      <c r="Y80" s="61">
        <f t="shared" si="24"/>
        <v>-195598.8900000006</v>
      </c>
      <c r="Z80" s="61">
        <f t="shared" si="24"/>
        <v>-1504.5</v>
      </c>
      <c r="AA80" s="61">
        <f t="shared" si="24"/>
        <v>-480689.18</v>
      </c>
      <c r="AB80" s="61">
        <f t="shared" si="24"/>
        <v>-25</v>
      </c>
      <c r="AC80" s="61">
        <f t="shared" si="24"/>
        <v>229631.89999999997</v>
      </c>
      <c r="AD80" s="61">
        <f t="shared" si="24"/>
        <v>-2221</v>
      </c>
      <c r="AE80" s="61">
        <f t="shared" si="24"/>
        <v>-41732</v>
      </c>
      <c r="AF80" s="61">
        <f t="shared" si="24"/>
        <v>0</v>
      </c>
      <c r="AG80" s="61">
        <f t="shared" si="24"/>
        <v>-203.07999999999998</v>
      </c>
      <c r="AH80" s="61">
        <f t="shared" si="24"/>
        <v>-23959.34</v>
      </c>
      <c r="AI80" s="61">
        <f aca="true" t="shared" si="25" ref="AI80:BH80">SUM(AI17-AI44)</f>
        <v>-31193.209999999963</v>
      </c>
      <c r="AJ80" s="61">
        <f t="shared" si="25"/>
        <v>-1120.7200000005869</v>
      </c>
      <c r="AK80" s="61">
        <f t="shared" si="25"/>
        <v>38843.75</v>
      </c>
      <c r="AL80" s="61">
        <f t="shared" si="25"/>
        <v>-166122.68</v>
      </c>
      <c r="AM80" s="61">
        <f t="shared" si="25"/>
        <v>-4980</v>
      </c>
      <c r="AN80" s="61">
        <f t="shared" si="25"/>
        <v>-85518.85999999999</v>
      </c>
      <c r="AO80" s="61">
        <f t="shared" si="25"/>
        <v>-318822.00000000047</v>
      </c>
      <c r="AP80" s="61">
        <f t="shared" si="25"/>
        <v>-12826</v>
      </c>
      <c r="AQ80" s="61">
        <f t="shared" si="25"/>
        <v>-5457</v>
      </c>
      <c r="AR80" s="61">
        <f t="shared" si="25"/>
        <v>-16422.75</v>
      </c>
      <c r="AS80" s="61">
        <f t="shared" si="25"/>
        <v>-12453.75</v>
      </c>
      <c r="AT80" s="61">
        <f t="shared" si="25"/>
        <v>-30204.75</v>
      </c>
      <c r="AU80" s="61">
        <f t="shared" si="25"/>
        <v>-44426.07</v>
      </c>
      <c r="AV80" s="61">
        <f t="shared" si="25"/>
        <v>-4268.25</v>
      </c>
      <c r="AW80" s="61">
        <f t="shared" si="25"/>
        <v>-31104.67</v>
      </c>
      <c r="AX80" s="61">
        <f t="shared" si="25"/>
        <v>-37.5</v>
      </c>
      <c r="AY80" s="61">
        <f t="shared" si="25"/>
        <v>-4680</v>
      </c>
      <c r="AZ80" s="61">
        <f t="shared" si="25"/>
        <v>182763.0199999976</v>
      </c>
      <c r="BA80" s="61">
        <f t="shared" si="25"/>
        <v>-758805.44</v>
      </c>
      <c r="BB80" s="61">
        <f t="shared" si="25"/>
        <v>-22745</v>
      </c>
      <c r="BC80" s="61">
        <f t="shared" si="25"/>
        <v>-20000</v>
      </c>
      <c r="BD80" s="61">
        <f t="shared" si="25"/>
        <v>-1762996.0499999998</v>
      </c>
      <c r="BE80" s="61">
        <f t="shared" si="25"/>
        <v>-17337.73000000001</v>
      </c>
      <c r="BF80" s="61">
        <f t="shared" si="25"/>
        <v>-26979.5</v>
      </c>
      <c r="BG80" s="61">
        <f t="shared" si="25"/>
        <v>779339.6300000002</v>
      </c>
      <c r="BH80" s="61">
        <f t="shared" si="25"/>
        <v>-97963.29000000001</v>
      </c>
    </row>
    <row r="81" ht="12.75" hidden="1"/>
    <row r="82" ht="12.75" hidden="1"/>
    <row r="83" spans="2:60" s="61" customFormat="1" ht="12.75" hidden="1">
      <c r="B83" s="77"/>
      <c r="C83" s="61">
        <f>SUM(C79:C80)</f>
        <v>-18163827.202000014</v>
      </c>
      <c r="D83" s="61">
        <f aca="true" t="shared" si="26" ref="D83:BH83">SUM(D79:D80)</f>
        <v>432219.6300000003</v>
      </c>
      <c r="E83" s="61">
        <f t="shared" si="26"/>
        <v>-7483132.2</v>
      </c>
      <c r="F83" s="61">
        <f t="shared" si="26"/>
        <v>-1376625.65</v>
      </c>
      <c r="G83" s="61">
        <f t="shared" si="26"/>
        <v>-1074574.4</v>
      </c>
      <c r="H83" s="61">
        <f t="shared" si="26"/>
        <v>133092.0899999999</v>
      </c>
      <c r="I83" s="61">
        <f t="shared" si="26"/>
        <v>1846570.8900000001</v>
      </c>
      <c r="J83" s="61">
        <f t="shared" si="26"/>
        <v>-983697.3800000001</v>
      </c>
      <c r="K83" s="61">
        <f t="shared" si="26"/>
        <v>-662351.4000000007</v>
      </c>
      <c r="L83" s="61">
        <f t="shared" si="26"/>
        <v>932171.1299999999</v>
      </c>
      <c r="M83" s="61">
        <f t="shared" si="26"/>
        <v>795040.6900000001</v>
      </c>
      <c r="N83" s="61">
        <f t="shared" si="26"/>
        <v>-898559.5800000043</v>
      </c>
      <c r="O83" s="61">
        <f t="shared" si="26"/>
        <v>8267202.18</v>
      </c>
      <c r="P83" s="61">
        <f t="shared" si="26"/>
        <v>-1357561.37</v>
      </c>
      <c r="Q83" s="61">
        <f t="shared" si="26"/>
        <v>1209039.4999999998</v>
      </c>
      <c r="R83" s="61">
        <f t="shared" si="26"/>
        <v>171431.76999999734</v>
      </c>
      <c r="S83" s="61">
        <f t="shared" si="26"/>
        <v>-13959389.162</v>
      </c>
      <c r="T83" s="61">
        <f t="shared" si="26"/>
        <v>-63154</v>
      </c>
      <c r="U83" s="61">
        <f t="shared" si="26"/>
        <v>-376711.52</v>
      </c>
      <c r="V83" s="61">
        <f t="shared" si="26"/>
        <v>509.5</v>
      </c>
      <c r="W83" s="61">
        <f t="shared" si="26"/>
        <v>87257.05</v>
      </c>
      <c r="X83" s="61">
        <f t="shared" si="26"/>
        <v>162498.1999999999</v>
      </c>
      <c r="Y83" s="61">
        <f t="shared" si="26"/>
        <v>-253372.8900000006</v>
      </c>
      <c r="Z83" s="61">
        <f t="shared" si="26"/>
        <v>18732.85</v>
      </c>
      <c r="AA83" s="61">
        <f t="shared" si="26"/>
        <v>-480689.18</v>
      </c>
      <c r="AB83" s="61">
        <f t="shared" si="26"/>
        <v>-25</v>
      </c>
      <c r="AC83" s="61">
        <f t="shared" si="26"/>
        <v>229631.89999999997</v>
      </c>
      <c r="AD83" s="61">
        <f t="shared" si="26"/>
        <v>-2221</v>
      </c>
      <c r="AE83" s="61">
        <f t="shared" si="26"/>
        <v>-41732</v>
      </c>
      <c r="AF83" s="61">
        <f t="shared" si="26"/>
        <v>0</v>
      </c>
      <c r="AG83" s="61">
        <f t="shared" si="26"/>
        <v>-2003.28</v>
      </c>
      <c r="AH83" s="61">
        <f t="shared" si="26"/>
        <v>-23959.34</v>
      </c>
      <c r="AI83" s="61">
        <f t="shared" si="26"/>
        <v>-31193.209999999963</v>
      </c>
      <c r="AJ83" s="61">
        <f t="shared" si="26"/>
        <v>-7120.920000000587</v>
      </c>
      <c r="AK83" s="61">
        <f t="shared" si="26"/>
        <v>38843.75</v>
      </c>
      <c r="AL83" s="61">
        <f t="shared" si="26"/>
        <v>-166122.68</v>
      </c>
      <c r="AM83" s="61">
        <f t="shared" si="26"/>
        <v>-4980</v>
      </c>
      <c r="AN83" s="61">
        <f t="shared" si="26"/>
        <v>-85518.85999999999</v>
      </c>
      <c r="AO83" s="61">
        <f t="shared" si="26"/>
        <v>-1143912.2400000005</v>
      </c>
      <c r="AP83" s="61">
        <f t="shared" si="26"/>
        <v>-12826</v>
      </c>
      <c r="AQ83" s="61">
        <f t="shared" si="26"/>
        <v>-5457</v>
      </c>
      <c r="AR83" s="61">
        <f t="shared" si="26"/>
        <v>-16422.75</v>
      </c>
      <c r="AS83" s="61">
        <f t="shared" si="26"/>
        <v>-12453.75</v>
      </c>
      <c r="AT83" s="61">
        <f t="shared" si="26"/>
        <v>-30204.75</v>
      </c>
      <c r="AU83" s="61">
        <f t="shared" si="26"/>
        <v>-44426.07</v>
      </c>
      <c r="AV83" s="61">
        <f t="shared" si="26"/>
        <v>-4268.25</v>
      </c>
      <c r="AW83" s="61">
        <f t="shared" si="26"/>
        <v>-42947.67</v>
      </c>
      <c r="AX83" s="61">
        <f t="shared" si="26"/>
        <v>-27564.5</v>
      </c>
      <c r="AY83" s="61">
        <f t="shared" si="26"/>
        <v>-4680</v>
      </c>
      <c r="AZ83" s="61">
        <f t="shared" si="26"/>
        <v>166458.9499999976</v>
      </c>
      <c r="BA83" s="61">
        <f t="shared" si="26"/>
        <v>-758805.44</v>
      </c>
      <c r="BB83" s="61">
        <f t="shared" si="26"/>
        <v>-22745</v>
      </c>
      <c r="BC83" s="61">
        <f t="shared" si="26"/>
        <v>-46212.66</v>
      </c>
      <c r="BD83" s="61">
        <f t="shared" si="26"/>
        <v>-1762996.0499999998</v>
      </c>
      <c r="BE83" s="61">
        <f t="shared" si="26"/>
        <v>-17337.73000000001</v>
      </c>
      <c r="BF83" s="61">
        <f t="shared" si="26"/>
        <v>-47947.81</v>
      </c>
      <c r="BG83" s="61">
        <f t="shared" si="26"/>
        <v>779338.7000000002</v>
      </c>
      <c r="BH83" s="61">
        <f t="shared" si="26"/>
        <v>-97963.29000000001</v>
      </c>
    </row>
    <row r="84" ht="12.75" hidden="1"/>
    <row r="86" spans="3:5" ht="12.75">
      <c r="C86" s="61"/>
      <c r="D86" s="61"/>
      <c r="E86" s="61"/>
    </row>
    <row r="87" spans="3:5" ht="12.75">
      <c r="C87" s="61"/>
      <c r="D87" s="61"/>
      <c r="E87" s="61"/>
    </row>
    <row r="88" spans="3:5" ht="12.75">
      <c r="C88" s="61"/>
      <c r="D88" s="61"/>
      <c r="E88" s="61"/>
    </row>
    <row r="89" ht="12.75">
      <c r="AD89" s="61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Kotalíková Alena ()</cp:lastModifiedBy>
  <cp:lastPrinted>2021-01-22T14:53:11Z</cp:lastPrinted>
  <dcterms:created xsi:type="dcterms:W3CDTF">2006-01-13T12:10:48Z</dcterms:created>
  <dcterms:modified xsi:type="dcterms:W3CDTF">2021-06-17T19:09:13Z</dcterms:modified>
  <cp:category/>
  <cp:version/>
  <cp:contentType/>
  <cp:contentStatus/>
</cp:coreProperties>
</file>